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3 - GEFINVIAGENS\VIAGENS\SIC - DESPESAS COM VIAGENS - 2023 ( PARCIAL )\"/>
    </mc:Choice>
  </mc:AlternateContent>
  <bookViews>
    <workbookView xWindow="-135" yWindow="4395" windowWidth="19815" windowHeight="8895"/>
  </bookViews>
  <sheets>
    <sheet name="RESUMO GERAL" sheetId="1" r:id="rId1"/>
    <sheet name="JAN" sheetId="2" r:id="rId2"/>
    <sheet name="FEV" sheetId="3" r:id="rId3"/>
    <sheet name="MAR" sheetId="4" r:id="rId4"/>
    <sheet name="ABR" sheetId="5" r:id="rId5"/>
    <sheet name="MAI" sheetId="6" r:id="rId6"/>
    <sheet name="JUN" sheetId="7" r:id="rId7"/>
    <sheet name="JUL" sheetId="8" r:id="rId8"/>
    <sheet name="AGO" sheetId="9" r:id="rId9"/>
    <sheet name="SET" sheetId="10" r:id="rId10"/>
    <sheet name="OUT" sheetId="11" r:id="rId11"/>
    <sheet name="NOV" sheetId="12" r:id="rId12"/>
    <sheet name="DEZ" sheetId="14" r:id="rId13"/>
  </sheets>
  <calcPr calcId="162913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R9" i="11" l="1"/>
  <c r="R8" i="11"/>
  <c r="R7" i="11"/>
  <c r="Q15" i="11"/>
  <c r="Q9" i="11"/>
  <c r="Q8" i="11"/>
  <c r="Q7" i="11"/>
  <c r="S6" i="11"/>
  <c r="S7" i="11"/>
  <c r="S8" i="11"/>
  <c r="S9" i="11"/>
  <c r="S10" i="11"/>
  <c r="S11" i="11"/>
  <c r="S12" i="11"/>
  <c r="S13" i="11"/>
  <c r="S14" i="11"/>
  <c r="S15" i="11"/>
  <c r="S16" i="11"/>
  <c r="S17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Q13" i="10"/>
  <c r="Q12" i="10"/>
  <c r="Q8" i="10"/>
  <c r="Q6" i="10"/>
  <c r="R9" i="9"/>
  <c r="R8" i="9"/>
  <c r="R7" i="9"/>
  <c r="R6" i="9"/>
  <c r="M8" i="9"/>
  <c r="M6" i="9"/>
  <c r="S6" i="10" l="1"/>
  <c r="S7" i="10"/>
  <c r="S8" i="10"/>
  <c r="S9" i="10"/>
  <c r="S10" i="10"/>
  <c r="S11" i="10"/>
  <c r="S12" i="10"/>
  <c r="S13" i="10"/>
  <c r="S14" i="10"/>
  <c r="H6" i="10"/>
  <c r="H7" i="10"/>
  <c r="H8" i="10"/>
  <c r="H9" i="10"/>
  <c r="H10" i="10"/>
  <c r="H11" i="10"/>
  <c r="H12" i="10"/>
  <c r="H13" i="10"/>
  <c r="H14" i="10"/>
  <c r="Q10" i="9"/>
  <c r="Q7" i="9"/>
  <c r="Q6" i="9"/>
  <c r="H8" i="9" l="1"/>
  <c r="H9" i="9"/>
  <c r="H10" i="9"/>
  <c r="S8" i="9"/>
  <c r="S9" i="9"/>
  <c r="S10" i="9"/>
  <c r="R12" i="8"/>
  <c r="R11" i="8"/>
  <c r="R10" i="8"/>
  <c r="R12" i="4"/>
  <c r="R11" i="4"/>
  <c r="Q6" i="8" l="1"/>
  <c r="S5" i="8"/>
  <c r="S6" i="8"/>
  <c r="S7" i="8"/>
  <c r="S8" i="8"/>
  <c r="S9" i="8"/>
  <c r="S10" i="8"/>
  <c r="S11" i="8"/>
  <c r="S12" i="8"/>
  <c r="H5" i="8"/>
  <c r="H6" i="8"/>
  <c r="H7" i="8"/>
  <c r="H8" i="8"/>
  <c r="H9" i="8"/>
  <c r="H10" i="8"/>
  <c r="H11" i="8"/>
  <c r="H12" i="8"/>
  <c r="R7" i="6"/>
  <c r="R6" i="6"/>
  <c r="S6" i="7" l="1"/>
  <c r="S7" i="7"/>
  <c r="S5" i="7"/>
  <c r="H6" i="7"/>
  <c r="H7" i="7"/>
  <c r="H5" i="7"/>
  <c r="R4" i="6"/>
  <c r="M4" i="6"/>
  <c r="R9" i="4"/>
  <c r="Q13" i="6" l="1"/>
  <c r="S13" i="6" s="1"/>
  <c r="Q9" i="6"/>
  <c r="S9" i="6" s="1"/>
  <c r="Q8" i="6"/>
  <c r="S8" i="6" s="1"/>
  <c r="H6" i="6"/>
  <c r="H7" i="6"/>
  <c r="H8" i="6"/>
  <c r="H9" i="6"/>
  <c r="H10" i="6"/>
  <c r="H11" i="6"/>
  <c r="H12" i="6"/>
  <c r="H13" i="6"/>
  <c r="H5" i="6"/>
  <c r="S6" i="6"/>
  <c r="S7" i="6"/>
  <c r="S10" i="6"/>
  <c r="S11" i="6"/>
  <c r="S12" i="6"/>
  <c r="S5" i="6"/>
  <c r="R6" i="5"/>
  <c r="Q6" i="5" l="1"/>
  <c r="R7" i="4"/>
  <c r="R6" i="4"/>
  <c r="R5" i="4"/>
  <c r="Q19" i="4"/>
  <c r="Q18" i="4"/>
  <c r="Q15" i="4"/>
  <c r="Q14" i="4"/>
  <c r="H19" i="4"/>
  <c r="Q12" i="4" l="1"/>
  <c r="Q11" i="4"/>
  <c r="Q10" i="4"/>
  <c r="Q9" i="4"/>
  <c r="Q8" i="4"/>
  <c r="S8" i="4" s="1"/>
  <c r="Q7" i="4"/>
  <c r="S7" i="4" s="1"/>
  <c r="Q6" i="4"/>
  <c r="Q5" i="4"/>
  <c r="H7" i="4"/>
  <c r="H8" i="4"/>
  <c r="H9" i="4"/>
  <c r="H10" i="4"/>
  <c r="H11" i="4"/>
  <c r="H12" i="4"/>
  <c r="H13" i="4"/>
  <c r="H14" i="4"/>
  <c r="H15" i="4"/>
  <c r="H16" i="4"/>
  <c r="H17" i="4"/>
  <c r="H18" i="4"/>
  <c r="H6" i="4"/>
  <c r="H5" i="4"/>
  <c r="S9" i="4"/>
  <c r="S10" i="4"/>
  <c r="S11" i="4"/>
  <c r="S12" i="4"/>
  <c r="S13" i="4"/>
  <c r="S14" i="4"/>
  <c r="S15" i="4"/>
  <c r="S16" i="4"/>
  <c r="S17" i="4"/>
  <c r="S18" i="4"/>
  <c r="S6" i="4"/>
  <c r="R5" i="2"/>
  <c r="H5" i="10" l="1"/>
  <c r="R7" i="14" l="1"/>
  <c r="I17" i="1" s="1"/>
  <c r="Q7" i="14"/>
  <c r="H17" i="1" s="1"/>
  <c r="P7" i="14"/>
  <c r="P8" i="14" s="1"/>
  <c r="O7" i="14"/>
  <c r="F17" i="1" s="1"/>
  <c r="N7" i="14"/>
  <c r="E17" i="1" s="1"/>
  <c r="M7" i="14"/>
  <c r="D17" i="1" s="1"/>
  <c r="S6" i="14"/>
  <c r="H6" i="14"/>
  <c r="S5" i="14"/>
  <c r="P9" i="14" l="1"/>
  <c r="S7" i="14"/>
  <c r="R10" i="14" l="1"/>
  <c r="S10" i="14" s="1"/>
  <c r="G17" i="1"/>
  <c r="R19" i="11"/>
  <c r="J17" i="1" l="1"/>
  <c r="L17" i="1" s="1"/>
  <c r="H5" i="11"/>
  <c r="O19" i="11"/>
  <c r="F15" i="1" s="1"/>
  <c r="N19" i="11"/>
  <c r="E15" i="1" s="1"/>
  <c r="M19" i="11"/>
  <c r="D15" i="1" s="1"/>
  <c r="Q19" i="11"/>
  <c r="H15" i="1" s="1"/>
  <c r="S18" i="11"/>
  <c r="S5" i="11" l="1"/>
  <c r="H5" i="9"/>
  <c r="H6" i="9"/>
  <c r="H7" i="9"/>
  <c r="S6" i="9"/>
  <c r="S7" i="9"/>
  <c r="S13" i="8"/>
  <c r="H13" i="8"/>
  <c r="S7" i="5"/>
  <c r="H7" i="5"/>
  <c r="H5" i="2"/>
  <c r="P20" i="11" l="1"/>
  <c r="S19" i="11" s="1"/>
  <c r="R8" i="12"/>
  <c r="I16" i="1" s="1"/>
  <c r="Q8" i="12"/>
  <c r="H16" i="1" s="1"/>
  <c r="P8" i="12"/>
  <c r="O8" i="12"/>
  <c r="N8" i="12"/>
  <c r="E16" i="1" s="1"/>
  <c r="M8" i="12"/>
  <c r="S7" i="12"/>
  <c r="H7" i="12"/>
  <c r="S6" i="12"/>
  <c r="H6" i="12"/>
  <c r="S5" i="12"/>
  <c r="H5" i="12"/>
  <c r="R15" i="10"/>
  <c r="I14" i="1" s="1"/>
  <c r="Q15" i="10"/>
  <c r="H14" i="1" s="1"/>
  <c r="P15" i="10"/>
  <c r="O15" i="10"/>
  <c r="F14" i="1" s="1"/>
  <c r="N15" i="10"/>
  <c r="E14" i="1" s="1"/>
  <c r="M15" i="10"/>
  <c r="D14" i="1" s="1"/>
  <c r="S5" i="10"/>
  <c r="R11" i="9"/>
  <c r="I13" i="1" s="1"/>
  <c r="Q11" i="9"/>
  <c r="P11" i="9"/>
  <c r="P12" i="9" s="1"/>
  <c r="O11" i="9"/>
  <c r="F13" i="1" s="1"/>
  <c r="N11" i="9"/>
  <c r="E13" i="1" s="1"/>
  <c r="M11" i="9"/>
  <c r="D13" i="1" s="1"/>
  <c r="S5" i="9"/>
  <c r="R15" i="8"/>
  <c r="I12" i="1" s="1"/>
  <c r="Q15" i="8"/>
  <c r="H12" i="1" s="1"/>
  <c r="P15" i="8"/>
  <c r="O15" i="8"/>
  <c r="F12" i="1" s="1"/>
  <c r="N15" i="8"/>
  <c r="E12" i="1" s="1"/>
  <c r="M15" i="8"/>
  <c r="D12" i="1" s="1"/>
  <c r="S4" i="8"/>
  <c r="H4" i="8"/>
  <c r="R11" i="7"/>
  <c r="Q11" i="7"/>
  <c r="P11" i="7"/>
  <c r="P12" i="7" s="1"/>
  <c r="O11" i="7"/>
  <c r="F11" i="1" s="1"/>
  <c r="N11" i="7"/>
  <c r="E11" i="1" s="1"/>
  <c r="M11" i="7"/>
  <c r="S9" i="7"/>
  <c r="H9" i="7"/>
  <c r="S8" i="7"/>
  <c r="H8" i="7"/>
  <c r="S4" i="7"/>
  <c r="H4" i="7"/>
  <c r="P15" i="6"/>
  <c r="O15" i="6"/>
  <c r="F10" i="1" s="1"/>
  <c r="N15" i="6"/>
  <c r="M15" i="6"/>
  <c r="R15" i="6"/>
  <c r="I10" i="1" s="1"/>
  <c r="Q15" i="6"/>
  <c r="H4" i="6"/>
  <c r="R9" i="5"/>
  <c r="I9" i="1" s="1"/>
  <c r="Q9" i="5"/>
  <c r="H9" i="1" s="1"/>
  <c r="P9" i="5"/>
  <c r="P10" i="5" s="1"/>
  <c r="O9" i="5"/>
  <c r="N9" i="5"/>
  <c r="E9" i="1" s="1"/>
  <c r="M9" i="5"/>
  <c r="D9" i="1" s="1"/>
  <c r="S6" i="5"/>
  <c r="H6" i="5"/>
  <c r="S5" i="5"/>
  <c r="H5" i="5"/>
  <c r="P21" i="4"/>
  <c r="P22" i="4" s="1"/>
  <c r="O21" i="4"/>
  <c r="F8" i="1" s="1"/>
  <c r="N21" i="4"/>
  <c r="E8" i="1" s="1"/>
  <c r="M21" i="4"/>
  <c r="R21" i="4"/>
  <c r="I8" i="1" s="1"/>
  <c r="S19" i="4"/>
  <c r="S5" i="4"/>
  <c r="Q21" i="4"/>
  <c r="H8" i="1" s="1"/>
  <c r="P8" i="3"/>
  <c r="P9" i="3" s="1"/>
  <c r="O8" i="3"/>
  <c r="F7" i="1" s="1"/>
  <c r="N8" i="3"/>
  <c r="M8" i="3"/>
  <c r="D7" i="1" s="1"/>
  <c r="R8" i="3"/>
  <c r="I7" i="1" s="1"/>
  <c r="Q8" i="3"/>
  <c r="H7" i="1" s="1"/>
  <c r="S7" i="3"/>
  <c r="S6" i="3"/>
  <c r="S5" i="3"/>
  <c r="P7" i="2"/>
  <c r="P8" i="2" s="1"/>
  <c r="O7" i="2"/>
  <c r="F6" i="1" s="1"/>
  <c r="N7" i="2"/>
  <c r="E6" i="1" s="1"/>
  <c r="M7" i="2"/>
  <c r="D6" i="1" s="1"/>
  <c r="Q7" i="2"/>
  <c r="H6" i="1" s="1"/>
  <c r="S5" i="2"/>
  <c r="R7" i="2"/>
  <c r="I6" i="1" s="1"/>
  <c r="F16" i="1"/>
  <c r="D16" i="1"/>
  <c r="H13" i="1"/>
  <c r="I11" i="1"/>
  <c r="H11" i="1"/>
  <c r="D11" i="1"/>
  <c r="H10" i="1"/>
  <c r="E10" i="1"/>
  <c r="D10" i="1"/>
  <c r="F9" i="1"/>
  <c r="D8" i="1"/>
  <c r="E7" i="1"/>
  <c r="S11" i="7" l="1"/>
  <c r="P21" i="11"/>
  <c r="G15" i="1" s="1"/>
  <c r="S11" i="9"/>
  <c r="S9" i="5"/>
  <c r="E19" i="1"/>
  <c r="D19" i="1"/>
  <c r="F19" i="1"/>
  <c r="H19" i="1"/>
  <c r="P23" i="4"/>
  <c r="G8" i="1" s="1"/>
  <c r="J8" i="1" s="1"/>
  <c r="S21" i="4"/>
  <c r="S7" i="2"/>
  <c r="P10" i="12"/>
  <c r="G16" i="1" s="1"/>
  <c r="J16" i="1" s="1"/>
  <c r="P9" i="2"/>
  <c r="G6" i="1" s="1"/>
  <c r="S8" i="3"/>
  <c r="P10" i="3"/>
  <c r="G7" i="1" s="1"/>
  <c r="J7" i="1" s="1"/>
  <c r="P11" i="5"/>
  <c r="G9" i="1" s="1"/>
  <c r="J9" i="1" s="1"/>
  <c r="S4" i="6"/>
  <c r="P16" i="6"/>
  <c r="P17" i="6" s="1"/>
  <c r="G10" i="1" s="1"/>
  <c r="J10" i="1" s="1"/>
  <c r="P13" i="7"/>
  <c r="G11" i="1" s="1"/>
  <c r="J11" i="1" s="1"/>
  <c r="P16" i="8"/>
  <c r="S15" i="8" s="1"/>
  <c r="P13" i="9"/>
  <c r="G13" i="1" s="1"/>
  <c r="J13" i="1" s="1"/>
  <c r="P16" i="10"/>
  <c r="S15" i="10" s="1"/>
  <c r="P9" i="12"/>
  <c r="S8" i="12" s="1"/>
  <c r="L11" i="1" l="1"/>
  <c r="L9" i="1"/>
  <c r="L16" i="1"/>
  <c r="P17" i="10"/>
  <c r="G14" i="1" s="1"/>
  <c r="J14" i="1" s="1"/>
  <c r="L14" i="1" s="1"/>
  <c r="L13" i="1"/>
  <c r="P17" i="8"/>
  <c r="G12" i="1" s="1"/>
  <c r="J12" i="1" s="1"/>
  <c r="L12" i="1" s="1"/>
  <c r="L8" i="1"/>
  <c r="L7" i="1"/>
  <c r="R14" i="9"/>
  <c r="S14" i="9" s="1"/>
  <c r="R14" i="7"/>
  <c r="S14" i="7" s="1"/>
  <c r="S15" i="6"/>
  <c r="L10" i="1" s="1"/>
  <c r="R11" i="12"/>
  <c r="S11" i="12" s="1"/>
  <c r="R18" i="6"/>
  <c r="R24" i="4"/>
  <c r="S24" i="4" s="1"/>
  <c r="R11" i="3"/>
  <c r="S11" i="3" s="1"/>
  <c r="R10" i="2"/>
  <c r="S10" i="2" s="1"/>
  <c r="J6" i="1"/>
  <c r="L6" i="1" s="1"/>
  <c r="R12" i="5"/>
  <c r="S12" i="5" s="1"/>
  <c r="R18" i="8" l="1"/>
  <c r="S18" i="8" s="1"/>
  <c r="R18" i="10"/>
  <c r="S18" i="10" s="1"/>
  <c r="G19" i="1"/>
  <c r="S18" i="6"/>
  <c r="R22" i="11"/>
  <c r="S22" i="11" s="1"/>
  <c r="I15" i="1"/>
  <c r="J15" i="1" s="1"/>
  <c r="L15" i="1" s="1"/>
  <c r="I19" i="1" l="1"/>
  <c r="I22" i="1" s="1"/>
  <c r="J25" i="1" s="1"/>
</calcChain>
</file>

<file path=xl/sharedStrings.xml><?xml version="1.0" encoding="utf-8"?>
<sst xmlns="http://schemas.openxmlformats.org/spreadsheetml/2006/main" count="811" uniqueCount="351">
  <si>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</si>
  <si>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</si>
  <si>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</si>
  <si>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</si>
  <si>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</si>
  <si>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</si>
  <si>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</si>
  <si>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</si>
  <si>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</si>
  <si>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</si>
  <si>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</si>
  <si>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</si>
  <si>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</si>
  <si>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</si>
  <si>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</si>
  <si>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</si>
  <si>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</si>
  <si>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</si>
  <si>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</si>
  <si>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</si>
  <si>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</si>
  <si>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</si>
  <si>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</si>
  <si>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</si>
  <si>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</si>
  <si>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</si>
  <si>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</si>
  <si>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</si>
  <si>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  <family val="2"/>
      </rPr>
      <t>FECHADO</t>
    </r>
    <r>
      <rPr>
        <sz val="11"/>
        <color theme="1"/>
        <rFont val="Calibri"/>
        <family val="2"/>
      </rPr>
      <t>: TODAS AS DESPESAS LANÇADAS.</t>
    </r>
  </si>
  <si>
    <r>
      <rPr>
        <b/>
        <sz val="11"/>
        <color theme="1"/>
        <rFont val="Calibri"/>
        <family val="2"/>
      </rPr>
      <t>PARCIAL</t>
    </r>
    <r>
      <rPr>
        <sz val="11"/>
        <color theme="1"/>
        <rFont val="Calibri"/>
        <family val="2"/>
      </rPr>
      <t>: FALTANDO VALORES Á SEREM LANÇADOS, DEVIDO Á FALTA DE COMPROVANTES.</t>
    </r>
  </si>
  <si>
    <t>EX.: PASSAGENS COMPRADAS EM UM MÊS PARA SEREM REALIZADAS EM OUTRO.</t>
  </si>
  <si>
    <t>A FIM DE GERAR ECONOMIA.</t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</si>
  <si>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</si>
  <si>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</si>
  <si>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</si>
  <si>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</si>
  <si>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</si>
  <si>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</si>
  <si>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</si>
  <si>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</si>
  <si>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</si>
  <si>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</si>
  <si>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</si>
  <si>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</si>
  <si>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</si>
  <si>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AGUARDANDO DOCUMENTOS DE COBRANÇA</t>
  </si>
  <si>
    <t>conferência</t>
  </si>
  <si>
    <t>Tx. Adm. Contrato</t>
  </si>
  <si>
    <t>SEM VIAGENS NO PERÍODO</t>
  </si>
  <si>
    <t>FECHADO</t>
  </si>
  <si>
    <r>
      <t xml:space="preserve">SIC -  </t>
    </r>
    <r>
      <rPr>
        <sz val="14"/>
        <color rgb="FF000000"/>
        <rFont val="Arial"/>
        <family val="2"/>
      </rPr>
      <t>RELAÇÃO DE VIAGENS  - JANEIRO 2023</t>
    </r>
  </si>
  <si>
    <r>
      <t xml:space="preserve">SIC -  </t>
    </r>
    <r>
      <rPr>
        <sz val="14"/>
        <color rgb="FF000000"/>
        <rFont val="Arial"/>
        <family val="2"/>
      </rPr>
      <t>RELAÇÃO DE VIAGENS  - FEVEREIRO 2023</t>
    </r>
    <r>
      <rPr>
        <b/>
        <sz val="14"/>
        <color rgb="FF000000"/>
        <rFont val="Arial"/>
        <family val="2"/>
      </rPr>
      <t xml:space="preserve"> </t>
    </r>
  </si>
  <si>
    <r>
      <t xml:space="preserve">SIC -  </t>
    </r>
    <r>
      <rPr>
        <sz val="14"/>
        <color rgb="FF000000"/>
        <rFont val="Arial"/>
        <family val="2"/>
      </rPr>
      <t>RELAÇÃO DE VIAGENS  - MARÇO 2023</t>
    </r>
  </si>
  <si>
    <r>
      <t xml:space="preserve">SIC -  </t>
    </r>
    <r>
      <rPr>
        <sz val="14"/>
        <color rgb="FF000000"/>
        <rFont val="Arial"/>
        <family val="2"/>
      </rPr>
      <t>RELAÇÃO DE VIAGENS  - ABRIL 2023</t>
    </r>
  </si>
  <si>
    <r>
      <t xml:space="preserve">SIC -  </t>
    </r>
    <r>
      <rPr>
        <sz val="14"/>
        <color rgb="FF000000"/>
        <rFont val="Arial"/>
        <family val="2"/>
      </rPr>
      <t>RELAÇÃO DE VIAGENS  - MAIO 2023</t>
    </r>
  </si>
  <si>
    <r>
      <t xml:space="preserve">SIC - </t>
    </r>
    <r>
      <rPr>
        <sz val="14"/>
        <color rgb="FF000000"/>
        <rFont val="Arial"/>
        <family val="2"/>
      </rPr>
      <t>RELAÇÃO DE VIAGENS  - JULHO 2023</t>
    </r>
    <r>
      <rPr>
        <b/>
        <sz val="14"/>
        <color rgb="FF000000"/>
        <rFont val="Arial"/>
        <family val="2"/>
      </rPr>
      <t xml:space="preserve"> </t>
    </r>
  </si>
  <si>
    <r>
      <t xml:space="preserve">SIC -  </t>
    </r>
    <r>
      <rPr>
        <sz val="14"/>
        <color rgb="FF000000"/>
        <rFont val="Arial"/>
        <family val="2"/>
      </rPr>
      <t>RELAÇÃO DE VIAGENS  - JUNHO 2023</t>
    </r>
  </si>
  <si>
    <r>
      <t xml:space="preserve">SIC -  </t>
    </r>
    <r>
      <rPr>
        <sz val="14"/>
        <color rgb="FF000000"/>
        <rFont val="Arial"/>
        <family val="2"/>
      </rPr>
      <t>RELAÇÃO DE VIAGENS  - AGOSTO 2023</t>
    </r>
  </si>
  <si>
    <r>
      <t xml:space="preserve"> SIC - </t>
    </r>
    <r>
      <rPr>
        <sz val="14"/>
        <color rgb="FF000000"/>
        <rFont val="Arial"/>
        <family val="2"/>
      </rPr>
      <t>RELAÇÃO DE VIAGENS  - SETEMBRO 2023</t>
    </r>
  </si>
  <si>
    <r>
      <t xml:space="preserve"> SIC - </t>
    </r>
    <r>
      <rPr>
        <sz val="14"/>
        <color rgb="FF000000"/>
        <rFont val="Arial"/>
        <family val="2"/>
      </rPr>
      <t>RELAÇÃO DE VIAGENS  - OUTUBRO 2023</t>
    </r>
  </si>
  <si>
    <r>
      <t xml:space="preserve"> SIC - </t>
    </r>
    <r>
      <rPr>
        <sz val="14"/>
        <color rgb="FF000000"/>
        <rFont val="Arial"/>
        <family val="2"/>
      </rPr>
      <t>RELAÇÃO DE VIAGENS  - NOVEMBRO 2023</t>
    </r>
  </si>
  <si>
    <r>
      <t xml:space="preserve"> SIC - </t>
    </r>
    <r>
      <rPr>
        <sz val="14"/>
        <color rgb="FF000000"/>
        <rFont val="Arial"/>
        <family val="2"/>
      </rPr>
      <t>RELAÇÃO DE VIAGENS  - DEZEMBRO 2023</t>
    </r>
  </si>
  <si>
    <t>PARCIAL</t>
  </si>
  <si>
    <r>
      <t xml:space="preserve">SIC -  </t>
    </r>
    <r>
      <rPr>
        <sz val="14"/>
        <color rgb="FF000000"/>
        <rFont val="Arial"/>
        <family val="2"/>
      </rPr>
      <t>RESUMO DAS DESPESAS COM VIAGENS - 2023</t>
    </r>
  </si>
  <si>
    <t>23092.000783/2023-40</t>
  </si>
  <si>
    <t>ALESSANDRO N. SCHILDT</t>
  </si>
  <si>
    <t>ENGEHEIRO DO NITT</t>
  </si>
  <si>
    <t>PARTICIPAR QUESTEL ORBIT USER MEETING BRAZIL 2023</t>
  </si>
  <si>
    <t>CAMPINAS</t>
  </si>
  <si>
    <t>Jan/Fev</t>
  </si>
  <si>
    <t>23092.001399/2023-64</t>
  </si>
  <si>
    <t>23092.003172/2023-53</t>
  </si>
  <si>
    <t>23092.003198/2023-00</t>
  </si>
  <si>
    <t>23092.003168/2023-95</t>
  </si>
  <si>
    <t>23092.002058/2023-14</t>
  </si>
  <si>
    <t>DÉBORA VIRGINIA CARVALHO VALENTE</t>
  </si>
  <si>
    <t>ANALISTA COMPRADOR I.</t>
  </si>
  <si>
    <t>Participação no 18º Congresso Nacional de Pregoeiros</t>
  </si>
  <si>
    <t>NADINE OLIVEIRA CLAUSELL</t>
  </si>
  <si>
    <t>DIRETORA - PRESIDENTE</t>
  </si>
  <si>
    <t>PARTICIPAR DA REUNIÃO EXECUTIVA DO MEC</t>
  </si>
  <si>
    <t>JORGE LUIS BAJERSKI</t>
  </si>
  <si>
    <t>DIRETOR ADMINISTRATIVO</t>
  </si>
  <si>
    <t>LUCIANA PAULA CADORE STEFANI</t>
  </si>
  <si>
    <t>DIRETOR DE ENSINO</t>
  </si>
  <si>
    <t>ANELISE GAYGER KLEIN</t>
  </si>
  <si>
    <t>CHEFE SERV. ANÁLISE FINANC. E EXEC. CONTRATUAL</t>
  </si>
  <si>
    <t>PARTICIPAÇÃO NO 4º SEMINÁRIO NACIONAL DAS ESTATAIS</t>
  </si>
  <si>
    <t>TÂNIA PINHEIRO PROENÇA</t>
  </si>
  <si>
    <t>CHEFE SERV. DE DIR. AD. LIC. CONTR. CONVÊNIOS</t>
  </si>
  <si>
    <t>MARCUS MANKE OLIVEIRA</t>
  </si>
  <si>
    <t>ANALISTA COMPRADOR II.</t>
  </si>
  <si>
    <t>LUANA BAPTISTA RODRIGUES PIRES</t>
  </si>
  <si>
    <t>CHEFE DO SERVIÇO DE COMPRAS</t>
  </si>
  <si>
    <t>POA X FOZ DO IGUAÇÚ X POA</t>
  </si>
  <si>
    <t>POA X BSB XBSB</t>
  </si>
  <si>
    <t>POA X FOZ DO IGUAÇU X POA</t>
  </si>
  <si>
    <t>Mar/Abr</t>
  </si>
  <si>
    <t>23092.003202/2023-21</t>
  </si>
  <si>
    <t>23092.004124/2023-82</t>
  </si>
  <si>
    <t>23092.004066/2023-97</t>
  </si>
  <si>
    <t>23092.004491/2023-86</t>
  </si>
  <si>
    <t>23092.004179/2023-92</t>
  </si>
  <si>
    <t>23092.004450/2023-90</t>
  </si>
  <si>
    <t>23092.004137/2023-51</t>
  </si>
  <si>
    <t>REUNIÃO CONSELHO FISCAL DA BB PREVIDÊNCIA</t>
  </si>
  <si>
    <t>PARTICIPAR DA REUNIÃO DA SEST</t>
  </si>
  <si>
    <t>AUDIÊNCIAS NO TCU</t>
  </si>
  <si>
    <t>JAIRO HENRIQUE GONÇALVES</t>
  </si>
  <si>
    <t>COORDENADOR JURIDICO</t>
  </si>
  <si>
    <t>ROSELI FÁTIMA ARMILIATTO BORTOLUZZI</t>
  </si>
  <si>
    <t>ASSESSOR PRESIDÊNCIA</t>
  </si>
  <si>
    <t>ANDRÉ TIAGO DA LUZ TARTAS</t>
  </si>
  <si>
    <t>CONSELHEIRO DE ADMINISTRAÇÃO</t>
  </si>
  <si>
    <t>POA X BSB X POA</t>
  </si>
  <si>
    <t>POA X BSB XPOA</t>
  </si>
  <si>
    <t>VIAGEM CANCELADA</t>
  </si>
  <si>
    <t>23092.004713/2023-61</t>
  </si>
  <si>
    <t>23092.005625/2023-86</t>
  </si>
  <si>
    <t>ALEXANDRE CAIRO</t>
  </si>
  <si>
    <t>PROCURADOR GERAL DA REPÚBLICA</t>
  </si>
  <si>
    <t>Assembleia Geral Extraordinária nº 029 e Assembleia Geral Ordinária nº 030</t>
  </si>
  <si>
    <t>TATIANA SEEFELD</t>
  </si>
  <si>
    <t>ADVOGADO GERAL II</t>
  </si>
  <si>
    <t>SIMONE MEDIANEIRA SCRMIN</t>
  </si>
  <si>
    <t>PSICÓLOGO HOSPITALAR CLÍNICO II</t>
  </si>
  <si>
    <t>Encontro de Serviços de aborto legal - Fac. Saúde Pública da USP /SP</t>
  </si>
  <si>
    <t>BSB X POA X BSB</t>
  </si>
  <si>
    <t>POA X SP X POA</t>
  </si>
  <si>
    <t>23092.006697/2023-41</t>
  </si>
  <si>
    <t>23092.007213/2023-81</t>
  </si>
  <si>
    <t>23092.007190/2023-12</t>
  </si>
  <si>
    <t>23092.007264/2023-11</t>
  </si>
  <si>
    <t>23092.007266/2023-00</t>
  </si>
  <si>
    <t>23092.007273/2023-01</t>
  </si>
  <si>
    <t>23092.007300/2023-38</t>
  </si>
  <si>
    <t>23092.006298/2023-80</t>
  </si>
  <si>
    <t>23092.006905/2023-10</t>
  </si>
  <si>
    <t>GUSTAVO SALOMÃO PINTO</t>
  </si>
  <si>
    <t>COORDENADOR DE AUDITORIA INTERNA</t>
  </si>
  <si>
    <t>PARTICIPAR DA OFICINA APRIMORANDO AS RESPOSTAS AOS ÓRGÃOS DE CONTROLE</t>
  </si>
  <si>
    <t>Participar do FINEP Orienta, vinculado a prestação de contas do projeto FINEP onde o HCPA é proponente e ganhador de recursos para a construção do espaço de inovação junto ao prédio do CITI.</t>
  </si>
  <si>
    <t>Participação no 56 FONAITec.</t>
  </si>
  <si>
    <t>FLÁVIO DE MEDEIROS HORTA</t>
  </si>
  <si>
    <t>ANALISTA DE AUDITORIA II</t>
  </si>
  <si>
    <t>PARTIC. AUDIÊNCIA COM O DIRETOR PROGR. DA SAES</t>
  </si>
  <si>
    <t>BRASIL SILVA NETO</t>
  </si>
  <si>
    <t>DIRETOR MÉDICO</t>
  </si>
  <si>
    <t>TALITA UZEICA</t>
  </si>
  <si>
    <t>CHEFE SERV. ENGª PREDIAL E DE EDIFICAÇÕES</t>
  </si>
  <si>
    <t>PARTICIPAÇÃO DA FEIRA HOSPITALAR 2023</t>
  </si>
  <si>
    <t>FLÁVIA DE CASTRO MELLO</t>
  </si>
  <si>
    <t>ARQUITETO II</t>
  </si>
  <si>
    <t>PAULA JULIANA SILVA BITTENCOURT</t>
  </si>
  <si>
    <t>CHEFE SEÇÃO DE CONTROLE DE OBRAS E PROJETOS</t>
  </si>
  <si>
    <t>POA X SALVADOR X POA</t>
  </si>
  <si>
    <t>POA X SP XPOA</t>
  </si>
  <si>
    <t>POA X FLORIANÓPOLIS X POA</t>
  </si>
  <si>
    <t>SEM PASSAGENS</t>
  </si>
  <si>
    <t>23092.008315/2023-13</t>
  </si>
  <si>
    <t>23092.008243/2023-12</t>
  </si>
  <si>
    <t>23092.008942/2023-54</t>
  </si>
  <si>
    <t>23092.008760/2023-83</t>
  </si>
  <si>
    <t>23092.008752/2023-37</t>
  </si>
  <si>
    <t>23092.008959/2023-10</t>
  </si>
  <si>
    <t xml:space="preserve">ARIANE NÁDIA BACKES </t>
  </si>
  <si>
    <t>MÉDICO CIRURGIÃO PLANTONISTA II</t>
  </si>
  <si>
    <t>Participação. no 18 Th Congress of the Rehabilitation and Transplant Association ( CIRTA XVIII )</t>
  </si>
  <si>
    <t>LETICIA FELDENS</t>
  </si>
  <si>
    <t>LIEGE LESSE GODOY</t>
  </si>
  <si>
    <t>ENFERMEIRA DA INTERNAÇÃO PEDIÁTRICA I</t>
  </si>
  <si>
    <t>KELY REGINA DA LUZ</t>
  </si>
  <si>
    <t>ENFERMEIRA DE CUIDADOS CORONÁRIANOS II</t>
  </si>
  <si>
    <t>Capacitação dispositivo cardíaco HeartMate para profissionais de saúde do hospital Ivan Goulart (São Borja/RS), dispositivo instalado em 23/03/2023 no paciente RAMP (Pront. 6168926).</t>
  </si>
  <si>
    <t>DAYANNA MACHADO PIRES LEMOS</t>
  </si>
  <si>
    <t>MAUREN PORTO HAEFFNER</t>
  </si>
  <si>
    <t>FISIOTERAPEUTA DA CTI ADULTO II</t>
  </si>
  <si>
    <t>POA X CHICAGO ( USA ) X POA</t>
  </si>
  <si>
    <t>Jun/Jul</t>
  </si>
  <si>
    <t>POA X SÃO BORJA X POA</t>
  </si>
  <si>
    <t>23092.009282/2023-29</t>
  </si>
  <si>
    <t>23092.009551/2023-57</t>
  </si>
  <si>
    <t>23092.009843/2023-90</t>
  </si>
  <si>
    <t>23092.009975/2023-11</t>
  </si>
  <si>
    <t>23092.010921/2023-07</t>
  </si>
  <si>
    <t>23092.009274/2023-82</t>
  </si>
  <si>
    <t>JAQUELINE BIANCHINI CONSOLI</t>
  </si>
  <si>
    <t>CHEFE DO SERV. ADM DE ATENÇÃO Á INTERNAÇÃO</t>
  </si>
  <si>
    <t>Participação no GAPH - Gestão de Alta Performance Hospitalar - Projeto Transformação Laen nos Hospitais.</t>
  </si>
  <si>
    <t>ELENITA TERESINHA CHARÃO CHAGAS</t>
  </si>
  <si>
    <t>CHEFE DO SERV. ADM DE ATENÇÃO CIRÚRGICA</t>
  </si>
  <si>
    <t>Assembleia Geral Extraordinária nº 031</t>
  </si>
  <si>
    <t>ROSANE DA SILVA VEIGA PIROVANO</t>
  </si>
  <si>
    <t>CHEFE DA UNID DE CENTRO CIRÚRGICO 12º SUL.</t>
  </si>
  <si>
    <t>ANDRÉ MENA AVILA</t>
  </si>
  <si>
    <t>Coordenador de Gestão Tecnol. Informação e Comunicação</t>
  </si>
  <si>
    <t>1º Simpósio Internacional de Transformação Digital no SUS.</t>
  </si>
  <si>
    <t>VALTER FERREIRA DA SILVA</t>
  </si>
  <si>
    <t>Assessor para gestão estratégica de TIC</t>
  </si>
  <si>
    <t>DIRETORA PRESIDENTE</t>
  </si>
  <si>
    <t>RODRIGO FROHLICH WENZEL</t>
  </si>
  <si>
    <t>23092.010773/2023-12</t>
  </si>
  <si>
    <t>23092.010736/2023-12</t>
  </si>
  <si>
    <t>CHEFE DA SEÇÃO COMUNICAÇÃO E RELAC COM A SOCIEDADE</t>
  </si>
  <si>
    <t>Reunião - Apresentação de Projeto à Bancada Gaúcha - Câmara dos Deputados (Brasília).</t>
  </si>
  <si>
    <t>Jul/Ago</t>
  </si>
  <si>
    <t>POA XBSB X POA</t>
  </si>
  <si>
    <t>LISIANE NUNES ALDABE</t>
  </si>
  <si>
    <t>CHEFE DA UNID DE INTERNAÇÃO CLINICA 7º SUL.</t>
  </si>
  <si>
    <t>23092.009681/2023-90</t>
  </si>
  <si>
    <t>23092.012513/2023-81</t>
  </si>
  <si>
    <t>23092.012520/2023-83</t>
  </si>
  <si>
    <t>23092.01298/2023-84</t>
  </si>
  <si>
    <t>ASSESSOR PARA GESTÃO ESTRATÉGICA DE TIC</t>
  </si>
  <si>
    <t>Participação na reunião da Câmara Técnica de Informação e Informática em Saúde do Conselho Nacional de Secretários de Saúde (CONASS), para apresentar a Comunidade AGHUse. </t>
  </si>
  <si>
    <t>ANDRÉ MENA ÁVILA</t>
  </si>
  <si>
    <t>COORD. DE GESTÃO TECNOL. INFORM. E COMUNICAÇÃO</t>
  </si>
  <si>
    <t>Participação1º Simpósio Internacional de Transformação Digital no SUS</t>
  </si>
  <si>
    <t>BERENICE LEMPEK DOS SANTOS</t>
  </si>
  <si>
    <t>MÉDICA PESQ. DO PROJETO DE PESQUISA META 06/TED 105</t>
  </si>
  <si>
    <t>PARTICIPAÇÃO NO XXIV CONGRESSO LATINOAMERICANO E XV CONGRESSO IBEROAMERICANO DE GASTROENTEROLOGIA, HEPATOLOGIA Y NUTRICION PEDIÁTRICA LADPGHAN 2023</t>
  </si>
  <si>
    <t>PATRICIA ASHTON PROLLA</t>
  </si>
  <si>
    <t>DIRETORA PESQUISA</t>
  </si>
  <si>
    <t>REUNIÃO NO INCA</t>
  </si>
  <si>
    <t>POA X RJ X POA</t>
  </si>
  <si>
    <t>POAX BSB XPOA</t>
  </si>
  <si>
    <t>JOÃO PESSOA X RJ X JOÃO PESSOA</t>
  </si>
  <si>
    <t>***.039.154-**</t>
  </si>
  <si>
    <t>***.947.250-**</t>
  </si>
  <si>
    <t>***.600.310-**</t>
  </si>
  <si>
    <t>***.433.770-**</t>
  </si>
  <si>
    <t>***.301.850-**</t>
  </si>
  <si>
    <t>***.120.310-**</t>
  </si>
  <si>
    <t>***.851.280-**</t>
  </si>
  <si>
    <t>***.280.910-**</t>
  </si>
  <si>
    <t>***.272.660-**</t>
  </si>
  <si>
    <t>***.997.570-**</t>
  </si>
  <si>
    <t>***.067.840-**</t>
  </si>
  <si>
    <t>***.037.360-**</t>
  </si>
  <si>
    <t>***.250.957-**</t>
  </si>
  <si>
    <t>***.285.910-**</t>
  </si>
  <si>
    <t>***.291.000-**</t>
  </si>
  <si>
    <t>***.125.660-**</t>
  </si>
  <si>
    <t>***.039.145-**</t>
  </si>
  <si>
    <t>***.432.230-**</t>
  </si>
  <si>
    <t>***.446.580-**</t>
  </si>
  <si>
    <t>***.336.409-**</t>
  </si>
  <si>
    <t>***.455.730-**</t>
  </si>
  <si>
    <t>***.946.530-**</t>
  </si>
  <si>
    <t>***.642.210-**</t>
  </si>
  <si>
    <t>***.203.650-**</t>
  </si>
  <si>
    <t>***.010.490-**</t>
  </si>
  <si>
    <t>***.229.310-**</t>
  </si>
  <si>
    <t>***.923.060-**</t>
  </si>
  <si>
    <t>***.377.859-**</t>
  </si>
  <si>
    <t>***.998.400-**</t>
  </si>
  <si>
    <t>***.795.370-**</t>
  </si>
  <si>
    <t>***.434.870-**</t>
  </si>
  <si>
    <t>***.230.600-**</t>
  </si>
  <si>
    <t>***.410.628-**</t>
  </si>
  <si>
    <t>***.281.560-**</t>
  </si>
  <si>
    <t>***.511.330-**</t>
  </si>
  <si>
    <t>***.871.150-**</t>
  </si>
  <si>
    <t>***.466.310-**</t>
  </si>
  <si>
    <t>***.000.000-**</t>
  </si>
  <si>
    <t>23092.0130502023-75</t>
  </si>
  <si>
    <t>23092.012758/2023-17</t>
  </si>
  <si>
    <t>23092.013097/2023-39</t>
  </si>
  <si>
    <t>23092.013160/2023-37</t>
  </si>
  <si>
    <t>23092.013232/2023-46</t>
  </si>
  <si>
    <t>23092.013148/2023-22</t>
  </si>
  <si>
    <t>23092.014015/2023-73</t>
  </si>
  <si>
    <t>23092.013745/2023-57</t>
  </si>
  <si>
    <t>Assembleia Geral Extraordinária nº 032</t>
  </si>
  <si>
    <t>CARLA DALBOSCO</t>
  </si>
  <si>
    <t>ASSESSORA</t>
  </si>
  <si>
    <t>Seminário de Meio-Termo - CAPAES/MEC</t>
  </si>
  <si>
    <t>ADALTON ROCHA MATOS</t>
  </si>
  <si>
    <t>SUB SECRETÁRIO DO MEC</t>
  </si>
  <si>
    <t>Visita Técnica e Palestra sobre Orçamento Público e Execução Orçamentária e Financeira no HCPA</t>
  </si>
  <si>
    <t>FERNANDO NASCIMENTO ZATTA</t>
  </si>
  <si>
    <t>AUDITOR DO COMITÊ DE AUDITORIA</t>
  </si>
  <si>
    <t>GILVANA PONTE LINHARES DA SILVA</t>
  </si>
  <si>
    <t>CONSELHEIRA FISCAL</t>
  </si>
  <si>
    <t>DIRETORA DE ENSINO</t>
  </si>
  <si>
    <t>Participação no Seminário de Meio Termo - CAPES</t>
  </si>
  <si>
    <t>BÁRBARA CORRÊA KRUG</t>
  </si>
  <si>
    <t>PESQUISADORA</t>
  </si>
  <si>
    <t>Participação na REBRATS para atualizações e reuniões com o Ministério da Saúde.</t>
  </si>
  <si>
    <t>FRANCISCO JORGE QUADROS DE OLIVEIRA</t>
  </si>
  <si>
    <t>PRODESSOR PRECEPTOR - MEDICINA SOCIAL</t>
  </si>
  <si>
    <t>Participação do Fórum Internacional de Líderes de Educação Médica - América Latina (IMELF - LA)</t>
  </si>
  <si>
    <t>BSB X POA XBSB</t>
  </si>
  <si>
    <t>VIX X POA X VIX</t>
  </si>
  <si>
    <t>POA X BH X POA</t>
  </si>
  <si>
    <t>*** .250.957-**</t>
  </si>
  <si>
    <t>*** .077.910-**</t>
  </si>
  <si>
    <t>*** .134.025-**</t>
  </si>
  <si>
    <t>*** .250.827-**</t>
  </si>
  <si>
    <t>*** .191.703-**</t>
  </si>
  <si>
    <t>*** .301.850-**</t>
  </si>
  <si>
    <t>*** .304.630-**</t>
  </si>
  <si>
    <t>*** .019.300-**</t>
  </si>
  <si>
    <t>23092.014421/2023-36</t>
  </si>
  <si>
    <t>SIMONE FARIAS SALDIBIA DOS SANTOS</t>
  </si>
  <si>
    <t>***.398.790-**</t>
  </si>
  <si>
    <t>TECNICA NUTR. E DIET BCO DE LEITE</t>
  </si>
  <si>
    <t>Participação 80 anos do Banco de Leite Humano do IFF/ Fiocruz 80 anos de Bancos de Leite Humano no Brasil</t>
  </si>
  <si>
    <t>23092.013349/2023-20</t>
  </si>
  <si>
    <t>23092.014744/2023-20</t>
  </si>
  <si>
    <t>23092.014891/2023-08</t>
  </si>
  <si>
    <t>23092.014416/2023-23</t>
  </si>
  <si>
    <t>23092.012439/2023-01</t>
  </si>
  <si>
    <t>23092.012442/2023-17</t>
  </si>
  <si>
    <t>23092.012443/2023-61</t>
  </si>
  <si>
    <t>JOSÉ GERALDO LOPES RAMOS</t>
  </si>
  <si>
    <t>PROF. DE MEDICINA - PROF PRECEPTOR SV GINEC. E OBSTETRÍCIA.</t>
  </si>
  <si>
    <t>ANA PAULA COUTINHO</t>
  </si>
  <si>
    <t>ASSESSORA ADJUNTO EXECUTIVO</t>
  </si>
  <si>
    <t>LAIS MACIEL GUTERRES ZEILMANN</t>
  </si>
  <si>
    <t>COORDENADOR DE GESTÃO DOS NEGÓCIOS ASSISTENCIAIS</t>
  </si>
  <si>
    <t xml:space="preserve">CAROLINE ZIANI DALLA POZZA </t>
  </si>
  <si>
    <t xml:space="preserve">ASSESSORA ADJUNTO </t>
  </si>
  <si>
    <t>COORD. DE GESTÃO AUDITORIA INTERNA</t>
  </si>
  <si>
    <t>ANGELA BEATRIS PINTO</t>
  </si>
  <si>
    <t>ANALISTA DE AUDITORIA I</t>
  </si>
  <si>
    <t>GUSTAVO JOSÉ SOMM</t>
  </si>
  <si>
    <t>MÉDICO ANESTESIOLOGISTA I</t>
  </si>
  <si>
    <t>HELENA MULLER</t>
  </si>
  <si>
    <t>MÉDICO INTENSIVISTA PEDIÁTRICO II</t>
  </si>
  <si>
    <t>JANAINA CARLA FARIAS</t>
  </si>
  <si>
    <t>CONSELHEIRO FISCAL</t>
  </si>
  <si>
    <t>HILTON FERREIRA DOS SANTOS</t>
  </si>
  <si>
    <t>Participar do VI Congresso da Associação Brasileira de Hospitais Universitários e de Ensino - Abrahue.</t>
  </si>
  <si>
    <r>
      <t>Participar do </t>
    </r>
    <r>
      <rPr>
        <sz val="8"/>
        <color indexed="8"/>
        <rFont val="Calibri"/>
        <family val="2"/>
      </rPr>
      <t>CONAHP - 2023, visando atualização dos</t>
    </r>
    <r>
      <rPr>
        <sz val="8"/>
        <color indexed="63"/>
        <rFont val="Arial"/>
        <family val="2"/>
      </rPr>
      <t> conhecimentos, acompanhar as iniciativas do mercado em saúde suplementar, tecnologias e inovações, além de fortalecer parcerias público-privadas.</t>
    </r>
  </si>
  <si>
    <t>Participar no 43º CONBRAL</t>
  </si>
  <si>
    <t>Treinamento para facultados - Centro Internacional de Treinamento HCPA/AHA (American Heart)</t>
  </si>
  <si>
    <t>Reunião Ordinária Do Conselho Fiscal</t>
  </si>
  <si>
    <t>BSB X POA X FORTALEZA</t>
  </si>
  <si>
    <t>***.331.850-**</t>
  </si>
  <si>
    <t>*** .873.780-**</t>
  </si>
  <si>
    <t>*** .629.890-**</t>
  </si>
  <si>
    <t>*** .748.140-**</t>
  </si>
  <si>
    <t>***.782.909-**</t>
  </si>
  <si>
    <t>*** .125.660-**</t>
  </si>
  <si>
    <t>*** .801.990-**</t>
  </si>
  <si>
    <t>*** .575.000-**</t>
  </si>
  <si>
    <t>*** .721.420-**</t>
  </si>
  <si>
    <t>*** .331.850-**</t>
  </si>
  <si>
    <t>*** .228.033-**</t>
  </si>
  <si>
    <t>*** .668.631-**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</si>
</sst>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  <numFmt numFmtId="167" formatCode="[$-416]mmm\-yy;@"/>
    <numFmt numFmtId="169" formatCode="000000000\-00"/>
  </numFmts>
  <fonts count="53">
    <font>
      <sz val="11"/>
      <color theme="1"/>
      <name val="Arial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14"/>
      <color rgb="FF000000"/>
      <name val="Inconsolata"/>
    </font>
    <font>
      <sz val="10"/>
      <name val="Arial"/>
      <family val="2"/>
    </font>
    <font>
      <sz val="14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rgb="FF22222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rgb="FFFF0000"/>
      <name val="Arial"/>
      <family val="2"/>
    </font>
    <font>
      <sz val="8"/>
      <color rgb="FF222222"/>
      <name val="Arial"/>
      <family val="2"/>
    </font>
    <font>
      <sz val="8"/>
      <color rgb="FFFF0000"/>
      <name val="Arial"/>
      <family val="2"/>
    </font>
    <font>
      <sz val="10"/>
      <color rgb="FF000000"/>
      <name val="Calibri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color indexed="8"/>
      <name val="Calibri"/>
      <family val="2"/>
    </font>
    <font>
      <sz val="8"/>
      <color indexed="6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2DCDB"/>
        <bgColor rgb="FFFDE9D9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6" tint="0.59999389629810485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theme="2" tint="-0.14999847407452621"/>
        <bgColor rgb="FFEAF1DD"/>
      </patternFill>
    </fill>
    <fill>
      <patternFill patternType="solid">
        <fgColor rgb="FFF2DCDB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5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/>
    <xf numFmtId="164" fontId="10" fillId="0" borderId="0" xfId="0" applyNumberFormat="1" applyFont="1"/>
    <xf numFmtId="164" fontId="8" fillId="6" borderId="5" xfId="0" applyNumberFormat="1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6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164" fontId="13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19" fillId="9" borderId="6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/>
    </xf>
    <xf numFmtId="164" fontId="17" fillId="0" borderId="7" xfId="0" applyNumberFormat="1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center" vertical="center"/>
    </xf>
    <xf numFmtId="0" fontId="1" fillId="9" borderId="6" xfId="0" applyFont="1" applyFill="1" applyBorder="1"/>
    <xf numFmtId="0" fontId="2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64" fontId="8" fillId="9" borderId="11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166" fontId="8" fillId="0" borderId="13" xfId="0" applyNumberFormat="1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4" fontId="8" fillId="9" borderId="13" xfId="0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8" fillId="10" borderId="13" xfId="0" applyNumberFormat="1" applyFont="1" applyFill="1" applyBorder="1" applyAlignment="1">
      <alignment horizontal="center" vertical="center"/>
    </xf>
    <xf numFmtId="164" fontId="8" fillId="11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3" fillId="0" borderId="0" xfId="0" applyNumberFormat="1" applyFont="1"/>
    <xf numFmtId="164" fontId="8" fillId="0" borderId="0" xfId="0" applyNumberFormat="1" applyFont="1" applyAlignment="1">
      <alignment vertical="center"/>
    </xf>
    <xf numFmtId="164" fontId="13" fillId="10" borderId="6" xfId="0" applyNumberFormat="1" applyFont="1" applyFill="1" applyBorder="1" applyAlignment="1">
      <alignment horizontal="center" vertical="center"/>
    </xf>
    <xf numFmtId="164" fontId="13" fillId="11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164" fontId="13" fillId="12" borderId="4" xfId="0" applyNumberFormat="1" applyFont="1" applyFill="1" applyBorder="1"/>
    <xf numFmtId="164" fontId="27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3" fillId="0" borderId="0" xfId="0" applyFont="1"/>
    <xf numFmtId="0" fontId="12" fillId="0" borderId="13" xfId="0" applyFont="1" applyBorder="1" applyAlignment="1">
      <alignment horizontal="left" wrapText="1"/>
    </xf>
    <xf numFmtId="164" fontId="1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6" fontId="28" fillId="0" borderId="13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9" fillId="7" borderId="0" xfId="0" applyFont="1" applyFill="1" applyAlignment="1">
      <alignment horizontal="center"/>
    </xf>
    <xf numFmtId="0" fontId="23" fillId="6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shrinkToFit="1"/>
    </xf>
    <xf numFmtId="0" fontId="23" fillId="6" borderId="19" xfId="0" applyFont="1" applyFill="1" applyBorder="1" applyAlignment="1">
      <alignment horizontal="center" vertical="center" shrinkToFi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164" fontId="13" fillId="10" borderId="6" xfId="0" applyNumberFormat="1" applyFont="1" applyFill="1" applyBorder="1" applyAlignment="1">
      <alignment vertical="center"/>
    </xf>
    <xf numFmtId="164" fontId="13" fillId="11" borderId="6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13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4" fillId="0" borderId="26" xfId="0" applyFont="1" applyFill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35" fillId="0" borderId="26" xfId="0" applyFont="1" applyFill="1" applyBorder="1" applyAlignment="1">
      <alignment horizontal="center"/>
    </xf>
    <xf numFmtId="0" fontId="36" fillId="0" borderId="26" xfId="0" applyFont="1" applyBorder="1" applyAlignment="1">
      <alignment horizontal="center" wrapText="1"/>
    </xf>
    <xf numFmtId="0" fontId="35" fillId="0" borderId="26" xfId="0" applyFont="1" applyFill="1" applyBorder="1" applyAlignment="1">
      <alignment horizontal="center" wrapText="1"/>
    </xf>
    <xf numFmtId="167" fontId="37" fillId="0" borderId="26" xfId="0" applyNumberFormat="1" applyFont="1" applyFill="1" applyBorder="1" applyAlignment="1">
      <alignment horizontal="center"/>
    </xf>
    <xf numFmtId="0" fontId="35" fillId="0" borderId="26" xfId="0" applyNumberFormat="1" applyFont="1" applyFill="1" applyBorder="1" applyAlignment="1">
      <alignment horizontal="center"/>
    </xf>
    <xf numFmtId="43" fontId="34" fillId="13" borderId="26" xfId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shrinkToFit="1"/>
    </xf>
    <xf numFmtId="164" fontId="2" fillId="6" borderId="20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0" fontId="34" fillId="0" borderId="28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 wrapText="1"/>
    </xf>
    <xf numFmtId="167" fontId="37" fillId="0" borderId="28" xfId="0" applyNumberFormat="1" applyFont="1" applyFill="1" applyBorder="1" applyAlignment="1">
      <alignment horizontal="center"/>
    </xf>
    <xf numFmtId="0" fontId="35" fillId="0" borderId="28" xfId="0" applyNumberFormat="1" applyFont="1" applyFill="1" applyBorder="1" applyAlignment="1">
      <alignment horizontal="center"/>
    </xf>
    <xf numFmtId="164" fontId="8" fillId="9" borderId="30" xfId="0" applyNumberFormat="1" applyFont="1" applyFill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43" fontId="34" fillId="13" borderId="28" xfId="1" applyFont="1" applyFill="1" applyBorder="1" applyAlignment="1">
      <alignment horizontal="center" vertical="center"/>
    </xf>
    <xf numFmtId="164" fontId="2" fillId="0" borderId="31" xfId="0" applyNumberFormat="1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shrinkToFit="1"/>
    </xf>
    <xf numFmtId="164" fontId="2" fillId="0" borderId="33" xfId="0" applyNumberFormat="1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shrinkToFit="1"/>
    </xf>
    <xf numFmtId="0" fontId="36" fillId="0" borderId="35" xfId="0" applyFont="1" applyBorder="1" applyAlignment="1">
      <alignment horizontal="center"/>
    </xf>
    <xf numFmtId="0" fontId="36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35" fillId="0" borderId="35" xfId="0" applyFont="1" applyFill="1" applyBorder="1" applyAlignment="1">
      <alignment horizontal="center" wrapText="1"/>
    </xf>
    <xf numFmtId="167" fontId="37" fillId="0" borderId="35" xfId="0" applyNumberFormat="1" applyFont="1" applyFill="1" applyBorder="1" applyAlignment="1">
      <alignment horizontal="center"/>
    </xf>
    <xf numFmtId="0" fontId="35" fillId="0" borderId="35" xfId="0" applyFont="1" applyFill="1" applyBorder="1" applyAlignment="1">
      <alignment horizontal="center"/>
    </xf>
    <xf numFmtId="0" fontId="35" fillId="0" borderId="35" xfId="0" applyNumberFormat="1" applyFont="1" applyFill="1" applyBorder="1" applyAlignment="1">
      <alignment horizontal="center"/>
    </xf>
    <xf numFmtId="164" fontId="8" fillId="9" borderId="36" xfId="0" applyNumberFormat="1" applyFont="1" applyFill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43" fontId="34" fillId="13" borderId="35" xfId="1" applyFont="1" applyFill="1" applyBorder="1" applyAlignment="1">
      <alignment horizontal="center" vertical="center"/>
    </xf>
    <xf numFmtId="43" fontId="34" fillId="14" borderId="35" xfId="1" applyFont="1" applyFill="1" applyBorder="1" applyAlignment="1">
      <alignment horizontal="center" vertical="center"/>
    </xf>
    <xf numFmtId="164" fontId="2" fillId="0" borderId="3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8" fillId="0" borderId="36" xfId="0" applyFont="1" applyBorder="1" applyAlignment="1">
      <alignment horizontal="center"/>
    </xf>
    <xf numFmtId="0" fontId="24" fillId="0" borderId="36" xfId="0" applyFont="1" applyBorder="1" applyAlignment="1">
      <alignment horizontal="center" wrapText="1"/>
    </xf>
    <xf numFmtId="0" fontId="26" fillId="0" borderId="36" xfId="0" applyFont="1" applyBorder="1" applyAlignment="1">
      <alignment horizontal="center"/>
    </xf>
    <xf numFmtId="164" fontId="8" fillId="10" borderId="36" xfId="0" applyNumberFormat="1" applyFont="1" applyFill="1" applyBorder="1" applyAlignment="1">
      <alignment horizontal="center" vertical="center"/>
    </xf>
    <xf numFmtId="164" fontId="8" fillId="11" borderId="36" xfId="0" applyNumberFormat="1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164" fontId="2" fillId="6" borderId="39" xfId="0" applyNumberFormat="1" applyFont="1" applyFill="1" applyBorder="1" applyAlignment="1">
      <alignment horizontal="center" vertical="center" wrapText="1"/>
    </xf>
    <xf numFmtId="164" fontId="2" fillId="6" borderId="1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24" fillId="0" borderId="30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164" fontId="8" fillId="10" borderId="30" xfId="0" applyNumberFormat="1" applyFont="1" applyFill="1" applyBorder="1" applyAlignment="1">
      <alignment horizontal="center" vertical="center"/>
    </xf>
    <xf numFmtId="164" fontId="8" fillId="11" borderId="30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wrapText="1"/>
    </xf>
    <xf numFmtId="0" fontId="12" fillId="0" borderId="36" xfId="0" applyFont="1" applyBorder="1" applyAlignment="1">
      <alignment horizontal="left"/>
    </xf>
    <xf numFmtId="166" fontId="8" fillId="0" borderId="36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vertical="center"/>
    </xf>
    <xf numFmtId="0" fontId="2" fillId="6" borderId="39" xfId="0" applyFont="1" applyFill="1" applyBorder="1" applyAlignment="1">
      <alignment horizontal="center" vertical="center" shrinkToFit="1"/>
    </xf>
    <xf numFmtId="0" fontId="2" fillId="6" borderId="22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right"/>
    </xf>
    <xf numFmtId="0" fontId="0" fillId="0" borderId="6" xfId="0" applyFont="1" applyBorder="1"/>
    <xf numFmtId="0" fontId="12" fillId="5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164" fontId="13" fillId="0" borderId="6" xfId="0" applyNumberFormat="1" applyFont="1" applyBorder="1"/>
    <xf numFmtId="164" fontId="13" fillId="0" borderId="6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wrapText="1"/>
    </xf>
    <xf numFmtId="0" fontId="8" fillId="0" borderId="30" xfId="0" applyFont="1" applyBorder="1" applyAlignment="1">
      <alignment horizontal="center" wrapText="1"/>
    </xf>
    <xf numFmtId="0" fontId="24" fillId="0" borderId="29" xfId="0" applyFont="1" applyBorder="1" applyAlignment="1">
      <alignment horizontal="center" wrapText="1"/>
    </xf>
    <xf numFmtId="166" fontId="8" fillId="0" borderId="30" xfId="0" applyNumberFormat="1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164" fontId="10" fillId="0" borderId="30" xfId="0" applyNumberFormat="1" applyFont="1" applyBorder="1" applyAlignment="1">
      <alignment vertical="center"/>
    </xf>
    <xf numFmtId="164" fontId="2" fillId="0" borderId="40" xfId="0" applyNumberFormat="1" applyFont="1" applyBorder="1" applyAlignment="1">
      <alignment vertical="center" wrapText="1"/>
    </xf>
    <xf numFmtId="0" fontId="8" fillId="0" borderId="36" xfId="0" applyFont="1" applyBorder="1" applyAlignment="1">
      <alignment horizontal="center" wrapText="1"/>
    </xf>
    <xf numFmtId="0" fontId="24" fillId="0" borderId="41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164" fontId="2" fillId="0" borderId="42" xfId="0" applyNumberFormat="1" applyFont="1" applyBorder="1" applyAlignment="1">
      <alignment vertical="center" wrapText="1"/>
    </xf>
    <xf numFmtId="0" fontId="30" fillId="0" borderId="34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wrapText="1"/>
    </xf>
    <xf numFmtId="164" fontId="2" fillId="0" borderId="43" xfId="0" applyNumberFormat="1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 shrinkToFit="1"/>
    </xf>
    <xf numFmtId="164" fontId="2" fillId="0" borderId="45" xfId="0" applyNumberFormat="1" applyFont="1" applyBorder="1" applyAlignment="1">
      <alignment vertical="center" wrapText="1"/>
    </xf>
    <xf numFmtId="0" fontId="35" fillId="0" borderId="26" xfId="0" applyFont="1" applyFill="1" applyBorder="1" applyAlignment="1">
      <alignment horizontal="left"/>
    </xf>
    <xf numFmtId="0" fontId="12" fillId="0" borderId="46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2" fillId="6" borderId="47" xfId="0" applyFont="1" applyFill="1" applyBorder="1" applyAlignment="1">
      <alignment horizontal="center" vertical="center" shrinkToFit="1"/>
    </xf>
    <xf numFmtId="0" fontId="23" fillId="6" borderId="48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shrinkToFit="1"/>
    </xf>
    <xf numFmtId="0" fontId="23" fillId="6" borderId="48" xfId="0" applyFont="1" applyFill="1" applyBorder="1" applyAlignment="1">
      <alignment horizontal="center" vertical="center" shrinkToFi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164" fontId="2" fillId="6" borderId="49" xfId="0" applyNumberFormat="1" applyFont="1" applyFill="1" applyBorder="1" applyAlignment="1">
      <alignment horizontal="center" vertical="center" wrapText="1"/>
    </xf>
    <xf numFmtId="164" fontId="2" fillId="6" borderId="48" xfId="0" applyNumberFormat="1" applyFont="1" applyFill="1" applyBorder="1" applyAlignment="1">
      <alignment horizontal="center" vertical="center" wrapText="1"/>
    </xf>
    <xf numFmtId="164" fontId="2" fillId="6" borderId="53" xfId="0" applyNumberFormat="1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left"/>
    </xf>
    <xf numFmtId="0" fontId="34" fillId="0" borderId="35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" fillId="6" borderId="54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wrapText="1"/>
    </xf>
    <xf numFmtId="167" fontId="37" fillId="0" borderId="6" xfId="0" applyNumberFormat="1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35" fillId="0" borderId="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shrinkToFit="1"/>
    </xf>
    <xf numFmtId="0" fontId="1" fillId="15" borderId="6" xfId="0" applyFont="1" applyFill="1" applyBorder="1"/>
    <xf numFmtId="0" fontId="1" fillId="15" borderId="6" xfId="0" applyFont="1" applyFill="1" applyBorder="1" applyAlignment="1">
      <alignment horizontal="left"/>
    </xf>
    <xf numFmtId="43" fontId="34" fillId="0" borderId="26" xfId="1" applyFont="1" applyFill="1" applyBorder="1" applyAlignment="1">
      <alignment vertical="center"/>
    </xf>
    <xf numFmtId="43" fontId="34" fillId="0" borderId="28" xfId="1" applyFont="1" applyFill="1" applyBorder="1" applyAlignment="1">
      <alignment vertical="center"/>
    </xf>
    <xf numFmtId="164" fontId="8" fillId="16" borderId="11" xfId="0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center" wrapText="1"/>
    </xf>
    <xf numFmtId="43" fontId="34" fillId="13" borderId="55" xfId="1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4" fontId="2" fillId="10" borderId="49" xfId="0" applyNumberFormat="1" applyFont="1" applyFill="1" applyBorder="1" applyAlignment="1">
      <alignment horizontal="center" vertical="center" wrapText="1"/>
    </xf>
    <xf numFmtId="164" fontId="2" fillId="11" borderId="48" xfId="0" applyNumberFormat="1" applyFont="1" applyFill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/>
    </xf>
    <xf numFmtId="0" fontId="35" fillId="0" borderId="55" xfId="0" applyFont="1" applyFill="1" applyBorder="1" applyAlignment="1">
      <alignment horizontal="left"/>
    </xf>
    <xf numFmtId="0" fontId="35" fillId="0" borderId="55" xfId="0" applyFont="1" applyFill="1" applyBorder="1" applyAlignment="1">
      <alignment horizontal="center" wrapText="1"/>
    </xf>
    <xf numFmtId="167" fontId="37" fillId="0" borderId="55" xfId="0" applyNumberFormat="1" applyFont="1" applyFill="1" applyBorder="1" applyAlignment="1">
      <alignment horizontal="center"/>
    </xf>
    <xf numFmtId="0" fontId="35" fillId="0" borderId="55" xfId="0" applyFont="1" applyFill="1" applyBorder="1" applyAlignment="1">
      <alignment horizontal="center"/>
    </xf>
    <xf numFmtId="0" fontId="35" fillId="0" borderId="55" xfId="0" applyNumberFormat="1" applyFont="1" applyFill="1" applyBorder="1" applyAlignment="1">
      <alignment horizontal="center"/>
    </xf>
    <xf numFmtId="0" fontId="2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12" fillId="17" borderId="4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wrapText="1"/>
    </xf>
    <xf numFmtId="0" fontId="8" fillId="3" borderId="58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164" fontId="8" fillId="6" borderId="61" xfId="0" applyNumberFormat="1" applyFont="1" applyFill="1" applyBorder="1" applyAlignment="1">
      <alignment vertical="center"/>
    </xf>
    <xf numFmtId="164" fontId="8" fillId="6" borderId="61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43" fontId="39" fillId="14" borderId="6" xfId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4" fontId="9" fillId="18" borderId="57" xfId="0" applyNumberFormat="1" applyFont="1" applyFill="1" applyBorder="1" applyAlignment="1">
      <alignment vertical="center" wrapText="1"/>
    </xf>
    <xf numFmtId="164" fontId="9" fillId="18" borderId="59" xfId="0" applyNumberFormat="1" applyFont="1" applyFill="1" applyBorder="1" applyAlignment="1">
      <alignment vertical="center" wrapText="1"/>
    </xf>
    <xf numFmtId="164" fontId="13" fillId="19" borderId="4" xfId="0" applyNumberFormat="1" applyFont="1" applyFill="1" applyBorder="1"/>
    <xf numFmtId="164" fontId="13" fillId="19" borderId="4" xfId="0" applyNumberFormat="1" applyFont="1" applyFill="1" applyBorder="1" applyAlignment="1">
      <alignment horizontal="left"/>
    </xf>
    <xf numFmtId="164" fontId="13" fillId="19" borderId="4" xfId="0" applyNumberFormat="1" applyFont="1" applyFill="1" applyBorder="1" applyAlignment="1">
      <alignment horizontal="center" vertical="center"/>
    </xf>
    <xf numFmtId="43" fontId="34" fillId="20" borderId="26" xfId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7" fillId="0" borderId="62" xfId="0" applyFont="1" applyBorder="1" applyAlignment="1">
      <alignment horizontal="center" vertical="center" shrinkToFit="1"/>
    </xf>
    <xf numFmtId="0" fontId="38" fillId="0" borderId="55" xfId="0" applyFont="1" applyBorder="1" applyAlignment="1">
      <alignment horizontal="center"/>
    </xf>
    <xf numFmtId="0" fontId="36" fillId="0" borderId="55" xfId="0" applyFont="1" applyBorder="1" applyAlignment="1">
      <alignment horizontal="center"/>
    </xf>
    <xf numFmtId="0" fontId="36" fillId="0" borderId="55" xfId="0" applyFont="1" applyBorder="1" applyAlignment="1">
      <alignment wrapText="1"/>
    </xf>
    <xf numFmtId="164" fontId="8" fillId="0" borderId="11" xfId="0" applyNumberFormat="1" applyFont="1" applyBorder="1" applyAlignment="1">
      <alignment vertical="center"/>
    </xf>
    <xf numFmtId="164" fontId="2" fillId="0" borderId="63" xfId="0" applyNumberFormat="1" applyFont="1" applyBorder="1" applyAlignment="1">
      <alignment vertical="center" wrapText="1"/>
    </xf>
    <xf numFmtId="0" fontId="2" fillId="9" borderId="51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vertical="center"/>
    </xf>
    <xf numFmtId="164" fontId="2" fillId="18" borderId="23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wrapText="1"/>
    </xf>
    <xf numFmtId="164" fontId="2" fillId="4" borderId="48" xfId="0" applyNumberFormat="1" applyFont="1" applyFill="1" applyBorder="1" applyAlignment="1">
      <alignment horizontal="center" vertical="center" wrapText="1"/>
    </xf>
    <xf numFmtId="164" fontId="2" fillId="4" borderId="65" xfId="0" applyNumberFormat="1" applyFont="1" applyFill="1" applyBorder="1" applyAlignment="1">
      <alignment horizontal="center" vertical="center" wrapText="1"/>
    </xf>
    <xf numFmtId="164" fontId="8" fillId="6" borderId="66" xfId="0" applyNumberFormat="1" applyFont="1" applyFill="1" applyBorder="1" applyAlignment="1">
      <alignment vertical="center"/>
    </xf>
    <xf numFmtId="164" fontId="8" fillId="6" borderId="67" xfId="0" applyNumberFormat="1" applyFont="1" applyFill="1" applyBorder="1" applyAlignment="1">
      <alignment vertical="center"/>
    </xf>
    <xf numFmtId="0" fontId="0" fillId="0" borderId="0" xfId="0" applyFont="1" applyAlignment="1"/>
    <xf numFmtId="0" fontId="36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34" fillId="0" borderId="35" xfId="1" applyFont="1" applyFill="1" applyBorder="1" applyAlignment="1">
      <alignment vertical="center"/>
    </xf>
    <xf numFmtId="0" fontId="34" fillId="21" borderId="68" xfId="0" applyFont="1" applyFill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" fillId="6" borderId="69" xfId="0" applyFont="1" applyFill="1" applyBorder="1" applyAlignment="1">
      <alignment horizontal="center" vertical="center" shrinkToFit="1"/>
    </xf>
    <xf numFmtId="0" fontId="23" fillId="6" borderId="7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shrinkToFit="1"/>
    </xf>
    <xf numFmtId="0" fontId="2" fillId="6" borderId="70" xfId="0" applyFont="1" applyFill="1" applyBorder="1" applyAlignment="1">
      <alignment horizontal="center" vertical="center" shrinkToFit="1"/>
    </xf>
    <xf numFmtId="0" fontId="23" fillId="6" borderId="70" xfId="0" applyFont="1" applyFill="1" applyBorder="1" applyAlignment="1">
      <alignment horizontal="center" vertical="center" shrinkToFit="1"/>
    </xf>
    <xf numFmtId="0" fontId="2" fillId="6" borderId="72" xfId="0" applyFont="1" applyFill="1" applyBorder="1" applyAlignment="1">
      <alignment horizontal="center" vertical="center" wrapText="1"/>
    </xf>
    <xf numFmtId="0" fontId="2" fillId="6" borderId="73" xfId="0" applyFont="1" applyFill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164" fontId="2" fillId="6" borderId="29" xfId="0" applyNumberFormat="1" applyFont="1" applyFill="1" applyBorder="1" applyAlignment="1">
      <alignment horizontal="center" vertical="center" wrapText="1"/>
    </xf>
    <xf numFmtId="164" fontId="2" fillId="6" borderId="70" xfId="0" applyNumberFormat="1" applyFont="1" applyFill="1" applyBorder="1" applyAlignment="1">
      <alignment horizontal="center" vertical="center" wrapText="1"/>
    </xf>
    <xf numFmtId="164" fontId="2" fillId="6" borderId="74" xfId="0" applyNumberFormat="1" applyFont="1" applyFill="1" applyBorder="1" applyAlignment="1">
      <alignment horizontal="center" vertical="center" wrapText="1"/>
    </xf>
    <xf numFmtId="0" fontId="2" fillId="9" borderId="75" xfId="0" applyFont="1" applyFill="1" applyBorder="1" applyAlignment="1">
      <alignment horizontal="center" vertical="center" wrapText="1"/>
    </xf>
    <xf numFmtId="0" fontId="2" fillId="9" borderId="73" xfId="0" applyFont="1" applyFill="1" applyBorder="1" applyAlignment="1">
      <alignment horizontal="center" vertical="center" wrapText="1"/>
    </xf>
    <xf numFmtId="0" fontId="2" fillId="9" borderId="70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164" fontId="2" fillId="10" borderId="29" xfId="0" applyNumberFormat="1" applyFont="1" applyFill="1" applyBorder="1" applyAlignment="1">
      <alignment horizontal="center" vertical="center" wrapText="1"/>
    </xf>
    <xf numFmtId="164" fontId="2" fillId="11" borderId="70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wrapText="1"/>
    </xf>
    <xf numFmtId="164" fontId="8" fillId="16" borderId="28" xfId="0" applyNumberFormat="1" applyFont="1" applyFill="1" applyBorder="1" applyAlignment="1">
      <alignment vertical="center"/>
    </xf>
    <xf numFmtId="164" fontId="2" fillId="0" borderId="77" xfId="0" applyNumberFormat="1" applyFont="1" applyBorder="1" applyAlignment="1">
      <alignment vertical="center" wrapText="1"/>
    </xf>
    <xf numFmtId="0" fontId="7" fillId="0" borderId="7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wrapText="1"/>
    </xf>
    <xf numFmtId="164" fontId="8" fillId="16" borderId="35" xfId="0" applyNumberFormat="1" applyFont="1" applyFill="1" applyBorder="1" applyAlignment="1">
      <alignment vertical="center"/>
    </xf>
    <xf numFmtId="164" fontId="2" fillId="0" borderId="79" xfId="0" applyNumberFormat="1" applyFont="1" applyBorder="1" applyAlignment="1">
      <alignment vertical="center" wrapText="1"/>
    </xf>
    <xf numFmtId="43" fontId="34" fillId="0" borderId="28" xfId="1" applyFont="1" applyFill="1" applyBorder="1" applyAlignment="1">
      <alignment horizontal="center"/>
    </xf>
    <xf numFmtId="0" fontId="38" fillId="0" borderId="80" xfId="0" applyFont="1" applyBorder="1" applyAlignment="1">
      <alignment horizontal="center"/>
    </xf>
    <xf numFmtId="0" fontId="36" fillId="0" borderId="80" xfId="0" applyFont="1" applyBorder="1" applyAlignment="1">
      <alignment wrapText="1"/>
    </xf>
    <xf numFmtId="0" fontId="2" fillId="0" borderId="69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shrinkToFit="1"/>
    </xf>
    <xf numFmtId="0" fontId="2" fillId="9" borderId="72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shrinkToFit="1"/>
    </xf>
    <xf numFmtId="0" fontId="34" fillId="0" borderId="82" xfId="0" applyFont="1" applyFill="1" applyBorder="1" applyAlignment="1">
      <alignment horizontal="center"/>
    </xf>
    <xf numFmtId="0" fontId="35" fillId="0" borderId="82" xfId="0" applyFont="1" applyFill="1" applyBorder="1" applyAlignment="1">
      <alignment horizontal="left"/>
    </xf>
    <xf numFmtId="0" fontId="35" fillId="0" borderId="82" xfId="0" applyFont="1" applyFill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35" fillId="0" borderId="82" xfId="0" applyFont="1" applyFill="1" applyBorder="1" applyAlignment="1">
      <alignment horizontal="center" wrapText="1"/>
    </xf>
    <xf numFmtId="167" fontId="37" fillId="0" borderId="82" xfId="0" applyNumberFormat="1" applyFont="1" applyFill="1" applyBorder="1" applyAlignment="1">
      <alignment horizontal="center"/>
    </xf>
    <xf numFmtId="0" fontId="35" fillId="0" borderId="82" xfId="0" applyNumberFormat="1" applyFont="1" applyFill="1" applyBorder="1" applyAlignment="1">
      <alignment horizontal="center"/>
    </xf>
    <xf numFmtId="43" fontId="34" fillId="0" borderId="82" xfId="1" applyFont="1" applyFill="1" applyBorder="1" applyAlignment="1">
      <alignment vertical="center"/>
    </xf>
    <xf numFmtId="164" fontId="8" fillId="9" borderId="41" xfId="0" applyNumberFormat="1" applyFont="1" applyFill="1" applyBorder="1" applyAlignment="1">
      <alignment vertical="center"/>
    </xf>
    <xf numFmtId="164" fontId="8" fillId="0" borderId="41" xfId="0" applyNumberFormat="1" applyFont="1" applyBorder="1" applyAlignment="1">
      <alignment vertical="center"/>
    </xf>
    <xf numFmtId="43" fontId="34" fillId="13" borderId="82" xfId="1" applyFont="1" applyFill="1" applyBorder="1" applyAlignment="1">
      <alignment horizontal="center" vertical="center"/>
    </xf>
    <xf numFmtId="43" fontId="34" fillId="20" borderId="82" xfId="1" applyFont="1" applyFill="1" applyBorder="1" applyAlignment="1">
      <alignment horizontal="center" vertical="center"/>
    </xf>
    <xf numFmtId="0" fontId="36" fillId="0" borderId="28" xfId="0" applyFont="1" applyBorder="1" applyAlignment="1">
      <alignment wrapText="1"/>
    </xf>
    <xf numFmtId="164" fontId="8" fillId="9" borderId="28" xfId="0" applyNumberFormat="1" applyFont="1" applyFill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6" xfId="0" applyFont="1" applyBorder="1"/>
    <xf numFmtId="164" fontId="2" fillId="0" borderId="6" xfId="0" applyNumberFormat="1" applyFont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/>
    </xf>
    <xf numFmtId="167" fontId="45" fillId="0" borderId="26" xfId="0" applyNumberFormat="1" applyFont="1" applyFill="1" applyBorder="1" applyAlignment="1">
      <alignment horizontal="center"/>
    </xf>
    <xf numFmtId="43" fontId="34" fillId="0" borderId="26" xfId="1" applyFont="1" applyFill="1" applyBorder="1" applyAlignment="1">
      <alignment horizontal="center"/>
    </xf>
    <xf numFmtId="43" fontId="34" fillId="20" borderId="26" xfId="1" applyFont="1" applyFill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6" fillId="0" borderId="83" xfId="0" applyFont="1" applyBorder="1" applyAlignment="1">
      <alignment horizontal="center"/>
    </xf>
    <xf numFmtId="0" fontId="47" fillId="0" borderId="26" xfId="0" applyFont="1" applyFill="1" applyBorder="1" applyAlignment="1">
      <alignment horizontal="center"/>
    </xf>
    <xf numFmtId="0" fontId="47" fillId="0" borderId="26" xfId="0" applyNumberFormat="1" applyFont="1" applyFill="1" applyBorder="1" applyAlignment="1">
      <alignment horizontal="center"/>
    </xf>
    <xf numFmtId="0" fontId="2" fillId="6" borderId="84" xfId="0" applyFont="1" applyFill="1" applyBorder="1" applyAlignment="1">
      <alignment horizontal="center" vertical="center" shrinkToFit="1"/>
    </xf>
    <xf numFmtId="0" fontId="36" fillId="0" borderId="6" xfId="0" applyFont="1" applyBorder="1" applyAlignment="1">
      <alignment horizontal="center"/>
    </xf>
    <xf numFmtId="0" fontId="2" fillId="6" borderId="85" xfId="0" applyFont="1" applyFill="1" applyBorder="1" applyAlignment="1">
      <alignment horizontal="center" vertical="center" shrinkToFit="1"/>
    </xf>
    <xf numFmtId="0" fontId="2" fillId="6" borderId="64" xfId="0" applyFont="1" applyFill="1" applyBorder="1" applyAlignment="1">
      <alignment horizontal="center" vertical="center" shrinkToFit="1"/>
    </xf>
    <xf numFmtId="0" fontId="23" fillId="6" borderId="50" xfId="0" applyFont="1" applyFill="1" applyBorder="1" applyAlignment="1">
      <alignment horizontal="center" vertical="center" shrinkToFit="1"/>
    </xf>
    <xf numFmtId="0" fontId="2" fillId="6" borderId="86" xfId="0" applyFont="1" applyFill="1" applyBorder="1" applyAlignment="1">
      <alignment horizontal="center" vertical="center" shrinkToFit="1"/>
    </xf>
    <xf numFmtId="164" fontId="2" fillId="6" borderId="84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84" xfId="0" applyFont="1" applyFill="1" applyBorder="1" applyAlignment="1">
      <alignment horizontal="center" vertical="center" wrapText="1"/>
    </xf>
    <xf numFmtId="0" fontId="34" fillId="22" borderId="68" xfId="0" applyFont="1" applyFill="1" applyBorder="1" applyAlignment="1">
      <alignment horizontal="center"/>
    </xf>
    <xf numFmtId="0" fontId="0" fillId="0" borderId="0" xfId="0" applyFont="1" applyAlignment="1"/>
    <xf numFmtId="0" fontId="42" fillId="0" borderId="26" xfId="0" applyFont="1" applyBorder="1" applyAlignment="1">
      <alignment horizontal="center"/>
    </xf>
    <xf numFmtId="0" fontId="34" fillId="23" borderId="26" xfId="0" applyFont="1" applyFill="1" applyBorder="1" applyAlignment="1">
      <alignment horizontal="center"/>
    </xf>
    <xf numFmtId="43" fontId="34" fillId="0" borderId="26" xfId="1" applyFont="1" applyFill="1" applyBorder="1" applyAlignment="1"/>
    <xf numFmtId="43" fontId="34" fillId="13" borderId="26" xfId="1" applyFont="1" applyFill="1" applyBorder="1" applyAlignment="1">
      <alignment horizontal="center"/>
    </xf>
    <xf numFmtId="43" fontId="34" fillId="0" borderId="26" xfId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wrapText="1"/>
    </xf>
    <xf numFmtId="0" fontId="36" fillId="0" borderId="29" xfId="0" applyFont="1" applyBorder="1" applyAlignment="1">
      <alignment horizontal="center"/>
    </xf>
    <xf numFmtId="0" fontId="36" fillId="0" borderId="28" xfId="0" applyFont="1" applyBorder="1"/>
    <xf numFmtId="167" fontId="45" fillId="0" borderId="28" xfId="0" applyNumberFormat="1" applyFont="1" applyFill="1" applyBorder="1" applyAlignment="1">
      <alignment horizontal="center"/>
    </xf>
    <xf numFmtId="43" fontId="34" fillId="0" borderId="28" xfId="1" applyFont="1" applyFill="1" applyBorder="1" applyAlignment="1"/>
    <xf numFmtId="43" fontId="34" fillId="0" borderId="28" xfId="1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34" fillId="23" borderId="35" xfId="0" applyFont="1" applyFill="1" applyBorder="1" applyAlignment="1">
      <alignment horizontal="center"/>
    </xf>
    <xf numFmtId="167" fontId="45" fillId="0" borderId="35" xfId="0" applyNumberFormat="1" applyFont="1" applyFill="1" applyBorder="1" applyAlignment="1">
      <alignment horizontal="center"/>
    </xf>
    <xf numFmtId="43" fontId="34" fillId="0" borderId="35" xfId="1" applyFont="1" applyFill="1" applyBorder="1" applyAlignment="1"/>
    <xf numFmtId="43" fontId="34" fillId="0" borderId="35" xfId="1" applyFont="1" applyFill="1" applyBorder="1" applyAlignment="1">
      <alignment horizontal="center"/>
    </xf>
    <xf numFmtId="43" fontId="34" fillId="13" borderId="35" xfId="1" applyFont="1" applyFill="1" applyBorder="1" applyAlignment="1">
      <alignment horizontal="center"/>
    </xf>
    <xf numFmtId="43" fontId="34" fillId="20" borderId="35" xfId="1" applyFont="1" applyFill="1" applyBorder="1" applyAlignment="1">
      <alignment horizontal="center"/>
    </xf>
    <xf numFmtId="164" fontId="2" fillId="0" borderId="31" xfId="0" applyNumberFormat="1" applyFont="1" applyBorder="1" applyAlignment="1">
      <alignment wrapText="1"/>
    </xf>
    <xf numFmtId="164" fontId="2" fillId="0" borderId="40" xfId="0" applyNumberFormat="1" applyFont="1" applyBorder="1" applyAlignment="1">
      <alignment wrapText="1"/>
    </xf>
    <xf numFmtId="164" fontId="2" fillId="0" borderId="37" xfId="0" applyNumberFormat="1" applyFont="1" applyBorder="1" applyAlignment="1">
      <alignment wrapText="1"/>
    </xf>
    <xf numFmtId="0" fontId="10" fillId="23" borderId="84" xfId="0" applyFont="1" applyFill="1" applyBorder="1" applyAlignment="1">
      <alignment horizontal="center"/>
    </xf>
    <xf numFmtId="0" fontId="36" fillId="0" borderId="28" xfId="0" applyFont="1" applyBorder="1" applyAlignment="1">
      <alignment horizontal="center" vertical="center" wrapText="1"/>
    </xf>
    <xf numFmtId="43" fontId="34" fillId="13" borderId="28" xfId="1" applyFont="1" applyFill="1" applyBorder="1" applyAlignment="1">
      <alignment horizontal="center"/>
    </xf>
    <xf numFmtId="43" fontId="34" fillId="20" borderId="28" xfId="1" applyFont="1" applyFill="1" applyBorder="1" applyAlignment="1">
      <alignment horizontal="center"/>
    </xf>
    <xf numFmtId="0" fontId="36" fillId="0" borderId="80" xfId="0" applyFont="1" applyBorder="1" applyAlignment="1">
      <alignment horizontal="center" wrapText="1"/>
    </xf>
    <xf numFmtId="0" fontId="7" fillId="0" borderId="56" xfId="0" applyFont="1" applyBorder="1" applyAlignment="1">
      <alignment horizontal="center" vertical="center" shrinkToFit="1"/>
    </xf>
    <xf numFmtId="0" fontId="34" fillId="0" borderId="87" xfId="0" applyFont="1" applyFill="1" applyBorder="1" applyAlignment="1">
      <alignment horizontal="center"/>
    </xf>
    <xf numFmtId="0" fontId="36" fillId="0" borderId="87" xfId="0" applyFont="1" applyFill="1" applyBorder="1" applyAlignment="1">
      <alignment horizontal="left" wrapText="1"/>
    </xf>
    <xf numFmtId="0" fontId="36" fillId="0" borderId="87" xfId="0" applyFont="1" applyBorder="1" applyAlignment="1">
      <alignment horizontal="center"/>
    </xf>
    <xf numFmtId="0" fontId="35" fillId="0" borderId="87" xfId="0" applyFont="1" applyFill="1" applyBorder="1" applyAlignment="1">
      <alignment horizontal="center" wrapText="1"/>
    </xf>
    <xf numFmtId="0" fontId="24" fillId="0" borderId="88" xfId="0" applyFont="1" applyBorder="1" applyAlignment="1">
      <alignment horizontal="center" wrapText="1"/>
    </xf>
    <xf numFmtId="167" fontId="45" fillId="0" borderId="87" xfId="0" applyNumberFormat="1" applyFont="1" applyFill="1" applyBorder="1" applyAlignment="1">
      <alignment horizontal="center"/>
    </xf>
    <xf numFmtId="49" fontId="35" fillId="0" borderId="87" xfId="0" applyNumberFormat="1" applyFont="1" applyFill="1" applyBorder="1" applyAlignment="1">
      <alignment horizontal="center"/>
    </xf>
    <xf numFmtId="43" fontId="34" fillId="0" borderId="87" xfId="1" applyFont="1" applyFill="1" applyBorder="1" applyAlignment="1">
      <alignment horizontal="center"/>
    </xf>
    <xf numFmtId="164" fontId="8" fillId="0" borderId="88" xfId="0" applyNumberFormat="1" applyFont="1" applyFill="1" applyBorder="1" applyAlignment="1"/>
    <xf numFmtId="164" fontId="8" fillId="0" borderId="88" xfId="0" applyNumberFormat="1" applyFont="1" applyBorder="1" applyAlignment="1">
      <alignment vertical="center"/>
    </xf>
    <xf numFmtId="43" fontId="34" fillId="13" borderId="87" xfId="1" applyFont="1" applyFill="1" applyBorder="1" applyAlignment="1">
      <alignment horizontal="center" vertical="center"/>
    </xf>
    <xf numFmtId="43" fontId="34" fillId="20" borderId="87" xfId="1" applyFont="1" applyFill="1" applyBorder="1" applyAlignment="1">
      <alignment horizontal="center"/>
    </xf>
    <xf numFmtId="164" fontId="2" fillId="0" borderId="89" xfId="0" applyNumberFormat="1" applyFont="1" applyBorder="1" applyAlignment="1">
      <alignment vertical="center" wrapText="1"/>
    </xf>
    <xf numFmtId="43" fontId="34" fillId="14" borderId="55" xfId="1" applyFont="1" applyFill="1" applyBorder="1" applyAlignment="1">
      <alignment horizontal="center" vertical="center"/>
    </xf>
    <xf numFmtId="43" fontId="34" fillId="14" borderId="82" xfId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wrapText="1"/>
    </xf>
    <xf numFmtId="0" fontId="49" fillId="0" borderId="26" xfId="0" applyFont="1" applyFill="1" applyBorder="1" applyAlignment="1">
      <alignment horizontal="center"/>
    </xf>
    <xf numFmtId="0" fontId="49" fillId="0" borderId="26" xfId="0" applyNumberFormat="1" applyFont="1" applyFill="1" applyBorder="1" applyAlignment="1">
      <alignment horizontal="center"/>
    </xf>
    <xf numFmtId="0" fontId="43" fillId="0" borderId="26" xfId="0" applyFont="1" applyFill="1" applyBorder="1" applyAlignment="1">
      <alignment horizontal="center"/>
    </xf>
    <xf numFmtId="0" fontId="43" fillId="0" borderId="26" xfId="0" applyNumberFormat="1" applyFont="1" applyFill="1" applyBorder="1" applyAlignment="1">
      <alignment horizontal="center"/>
    </xf>
    <xf numFmtId="0" fontId="10" fillId="23" borderId="0" xfId="0" applyFont="1" applyFill="1"/>
    <xf numFmtId="164" fontId="8" fillId="9" borderId="11" xfId="0" applyNumberFormat="1" applyFont="1" applyFill="1" applyBorder="1" applyAlignment="1"/>
    <xf numFmtId="0" fontId="48" fillId="0" borderId="28" xfId="0" applyFont="1" applyBorder="1" applyAlignment="1">
      <alignment horizontal="center" wrapText="1"/>
    </xf>
    <xf numFmtId="0" fontId="36" fillId="0" borderId="35" xfId="0" applyFont="1" applyFill="1" applyBorder="1" applyAlignment="1">
      <alignment horizontal="center" wrapText="1"/>
    </xf>
    <xf numFmtId="0" fontId="36" fillId="0" borderId="80" xfId="0" applyFont="1" applyBorder="1" applyAlignment="1">
      <alignment horizontal="center"/>
    </xf>
    <xf numFmtId="0" fontId="43" fillId="0" borderId="35" xfId="0" applyFont="1" applyFill="1" applyBorder="1" applyAlignment="1">
      <alignment horizontal="center"/>
    </xf>
    <xf numFmtId="0" fontId="43" fillId="0" borderId="35" xfId="0" applyNumberFormat="1" applyFont="1" applyFill="1" applyBorder="1" applyAlignment="1">
      <alignment horizontal="center"/>
    </xf>
    <xf numFmtId="0" fontId="0" fillId="0" borderId="0" xfId="0" applyFont="1" applyAlignment="1"/>
    <xf numFmtId="43" fontId="34" fillId="24" borderId="26" xfId="1" applyFont="1" applyFill="1" applyBorder="1" applyAlignment="1">
      <alignment horizontal="center"/>
    </xf>
    <xf numFmtId="0" fontId="24" fillId="0" borderId="26" xfId="0" applyFont="1" applyBorder="1" applyAlignment="1">
      <alignment horizontal="center" wrapText="1"/>
    </xf>
    <xf numFmtId="0" fontId="24" fillId="0" borderId="26" xfId="0" applyFont="1" applyFill="1" applyBorder="1" applyAlignment="1">
      <alignment horizontal="center" wrapText="1"/>
    </xf>
    <xf numFmtId="0" fontId="25" fillId="0" borderId="26" xfId="0" applyFont="1" applyFill="1" applyBorder="1" applyAlignment="1">
      <alignment horizontal="center" wrapText="1"/>
    </xf>
    <xf numFmtId="0" fontId="24" fillId="0" borderId="83" xfId="0" applyFont="1" applyBorder="1" applyAlignment="1">
      <alignment horizontal="center"/>
    </xf>
    <xf numFmtId="3" fontId="25" fillId="0" borderId="26" xfId="0" applyNumberFormat="1" applyFont="1" applyFill="1" applyBorder="1" applyAlignment="1">
      <alignment horizontal="center" wrapText="1"/>
    </xf>
    <xf numFmtId="0" fontId="24" fillId="0" borderId="28" xfId="0" applyFont="1" applyFill="1" applyBorder="1" applyAlignment="1">
      <alignment horizontal="center" wrapText="1"/>
    </xf>
    <xf numFmtId="0" fontId="25" fillId="0" borderId="28" xfId="0" applyFont="1" applyFill="1" applyBorder="1" applyAlignment="1">
      <alignment horizontal="center" wrapText="1"/>
    </xf>
    <xf numFmtId="0" fontId="24" fillId="0" borderId="90" xfId="0" applyFont="1" applyBorder="1" applyAlignment="1">
      <alignment horizontal="center"/>
    </xf>
    <xf numFmtId="0" fontId="24" fillId="0" borderId="28" xfId="0" applyFont="1" applyBorder="1" applyAlignment="1">
      <alignment horizontal="center" wrapText="1"/>
    </xf>
    <xf numFmtId="3" fontId="25" fillId="0" borderId="35" xfId="0" applyNumberFormat="1" applyFont="1" applyFill="1" applyBorder="1" applyAlignment="1">
      <alignment horizontal="center" wrapText="1"/>
    </xf>
    <xf numFmtId="0" fontId="24" fillId="0" borderId="35" xfId="0" applyFont="1" applyBorder="1" applyAlignment="1">
      <alignment horizontal="center"/>
    </xf>
    <xf numFmtId="0" fontId="24" fillId="0" borderId="35" xfId="0" applyFont="1" applyBorder="1" applyAlignment="1">
      <alignment horizontal="center" wrapText="1"/>
    </xf>
    <xf numFmtId="0" fontId="24" fillId="0" borderId="35" xfId="0" applyFont="1" applyFill="1" applyBorder="1" applyAlignment="1">
      <alignment horizontal="center" wrapText="1"/>
    </xf>
    <xf numFmtId="167" fontId="10" fillId="0" borderId="26" xfId="0" applyNumberFormat="1" applyFont="1" applyFill="1" applyBorder="1" applyAlignment="1">
      <alignment horizontal="center"/>
    </xf>
    <xf numFmtId="0" fontId="43" fillId="0" borderId="28" xfId="0" applyFont="1" applyFill="1" applyBorder="1" applyAlignment="1">
      <alignment horizontal="center"/>
    </xf>
    <xf numFmtId="0" fontId="43" fillId="0" borderId="28" xfId="0" applyNumberFormat="1" applyFont="1" applyFill="1" applyBorder="1" applyAlignment="1">
      <alignment horizontal="center"/>
    </xf>
    <xf numFmtId="167" fontId="10" fillId="0" borderId="35" xfId="0" applyNumberFormat="1" applyFont="1" applyFill="1" applyBorder="1" applyAlignment="1">
      <alignment horizontal="center"/>
    </xf>
    <xf numFmtId="0" fontId="0" fillId="0" borderId="0" xfId="0" applyFont="1" applyAlignment="1"/>
    <xf numFmtId="164" fontId="8" fillId="0" borderId="30" xfId="0" applyNumberFormat="1" applyFont="1" applyBorder="1" applyAlignment="1"/>
    <xf numFmtId="164" fontId="8" fillId="0" borderId="11" xfId="0" applyNumberFormat="1" applyFont="1" applyBorder="1" applyAlignment="1"/>
    <xf numFmtId="164" fontId="8" fillId="0" borderId="13" xfId="0" applyNumberFormat="1" applyFont="1" applyBorder="1" applyAlignment="1"/>
    <xf numFmtId="164" fontId="8" fillId="0" borderId="36" xfId="0" applyNumberFormat="1" applyFont="1" applyBorder="1" applyAlignment="1"/>
    <xf numFmtId="0" fontId="24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/>
    </xf>
    <xf numFmtId="0" fontId="24" fillId="0" borderId="26" xfId="0" applyFont="1" applyBorder="1"/>
    <xf numFmtId="0" fontId="35" fillId="0" borderId="91" xfId="0" applyFont="1" applyFill="1" applyBorder="1" applyAlignment="1">
      <alignment horizontal="center" wrapText="1"/>
    </xf>
    <xf numFmtId="43" fontId="34" fillId="13" borderId="26" xfId="1" applyFont="1" applyFill="1" applyBorder="1" applyAlignment="1">
      <alignment horizontal="right"/>
    </xf>
    <xf numFmtId="43" fontId="34" fillId="14" borderId="26" xfId="1" applyFont="1" applyFill="1" applyBorder="1" applyAlignment="1">
      <alignment horizontal="center"/>
    </xf>
    <xf numFmtId="0" fontId="0" fillId="0" borderId="0" xfId="0" applyFont="1" applyAlignment="1"/>
    <xf numFmtId="0" fontId="2" fillId="6" borderId="29" xfId="0" applyFont="1" applyFill="1" applyBorder="1" applyAlignment="1">
      <alignment horizontal="center" vertical="center" shrinkToFit="1"/>
    </xf>
    <xf numFmtId="167" fontId="10" fillId="0" borderId="28" xfId="0" applyNumberFormat="1" applyFont="1" applyFill="1" applyBorder="1" applyAlignment="1">
      <alignment horizontal="center"/>
    </xf>
    <xf numFmtId="43" fontId="34" fillId="14" borderId="28" xfId="1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49" fillId="0" borderId="35" xfId="0" applyFont="1" applyFill="1" applyBorder="1" applyAlignment="1">
      <alignment horizontal="center"/>
    </xf>
    <xf numFmtId="0" fontId="49" fillId="0" borderId="35" xfId="0" applyNumberFormat="1" applyFont="1" applyFill="1" applyBorder="1" applyAlignment="1">
      <alignment horizontal="center"/>
    </xf>
    <xf numFmtId="43" fontId="34" fillId="13" borderId="35" xfId="1" applyFont="1" applyFill="1" applyBorder="1" applyAlignment="1">
      <alignment horizontal="right"/>
    </xf>
    <xf numFmtId="43" fontId="37" fillId="20" borderId="26" xfId="1" applyFont="1" applyFill="1" applyBorder="1" applyAlignment="1">
      <alignment horizontal="center"/>
    </xf>
    <xf numFmtId="43" fontId="34" fillId="24" borderId="35" xfId="1" applyFont="1" applyFill="1" applyBorder="1" applyAlignment="1">
      <alignment horizontal="center"/>
    </xf>
    <xf numFmtId="0" fontId="34" fillId="23" borderId="28" xfId="0" applyFont="1" applyFill="1" applyBorder="1" applyAlignment="1">
      <alignment horizontal="center"/>
    </xf>
    <xf numFmtId="0" fontId="24" fillId="0" borderId="80" xfId="0" applyFont="1" applyBorder="1" applyAlignment="1">
      <alignment horizontal="center" wrapText="1"/>
    </xf>
    <xf numFmtId="0" fontId="0" fillId="0" borderId="0" xfId="0" applyFont="1" applyAlignment="1"/>
    <xf numFmtId="0" fontId="24" fillId="0" borderId="87" xfId="0" applyFont="1" applyBorder="1" applyAlignment="1">
      <alignment horizontal="center"/>
    </xf>
    <xf numFmtId="0" fontId="25" fillId="0" borderId="35" xfId="0" applyFont="1" applyFill="1" applyBorder="1" applyAlignment="1">
      <alignment horizontal="center" wrapText="1"/>
    </xf>
    <xf numFmtId="43" fontId="34" fillId="24" borderId="26" xfId="1" applyFont="1" applyFill="1" applyBorder="1" applyAlignment="1"/>
    <xf numFmtId="0" fontId="7" fillId="0" borderId="92" xfId="0" applyFont="1" applyBorder="1" applyAlignment="1">
      <alignment horizontal="center" vertical="center" shrinkToFit="1"/>
    </xf>
    <xf numFmtId="0" fontId="12" fillId="0" borderId="90" xfId="0" applyFont="1" applyBorder="1" applyAlignment="1">
      <alignment horizontal="center" wrapText="1"/>
    </xf>
    <xf numFmtId="0" fontId="7" fillId="0" borderId="93" xfId="0" applyFont="1" applyBorder="1" applyAlignment="1">
      <alignment horizontal="center" vertical="center" shrinkToFit="1"/>
    </xf>
    <xf numFmtId="0" fontId="43" fillId="0" borderId="82" xfId="0" applyFont="1" applyFill="1" applyBorder="1" applyAlignment="1">
      <alignment horizontal="center" wrapText="1"/>
    </xf>
    <xf numFmtId="0" fontId="44" fillId="0" borderId="82" xfId="0" applyFont="1" applyBorder="1" applyAlignment="1">
      <alignment wrapText="1"/>
    </xf>
    <xf numFmtId="0" fontId="12" fillId="0" borderId="82" xfId="0" applyFont="1" applyBorder="1" applyAlignment="1">
      <alignment horizontal="center" wrapText="1"/>
    </xf>
    <xf numFmtId="164" fontId="8" fillId="16" borderId="26" xfId="0" applyNumberFormat="1" applyFont="1" applyFill="1" applyBorder="1" applyAlignment="1">
      <alignment vertical="center"/>
    </xf>
    <xf numFmtId="164" fontId="2" fillId="0" borderId="94" xfId="0" applyNumberFormat="1" applyFont="1" applyBorder="1" applyAlignment="1">
      <alignment vertical="center" wrapText="1"/>
    </xf>
    <xf numFmtId="0" fontId="34" fillId="0" borderId="95" xfId="0" applyFont="1" applyFill="1" applyBorder="1" applyAlignment="1">
      <alignment horizontal="center"/>
    </xf>
    <xf numFmtId="164" fontId="2" fillId="0" borderId="96" xfId="0" applyNumberFormat="1" applyFont="1" applyBorder="1" applyAlignment="1">
      <alignment vertical="center" wrapText="1"/>
    </xf>
    <xf numFmtId="0" fontId="35" fillId="0" borderId="91" xfId="0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6" xfId="0" applyFont="1" applyBorder="1" applyAlignment="1">
      <alignment wrapText="1"/>
    </xf>
    <xf numFmtId="0" fontId="24" fillId="0" borderId="91" xfId="0" applyFont="1" applyBorder="1" applyAlignment="1">
      <alignment horizontal="center"/>
    </xf>
    <xf numFmtId="0" fontId="35" fillId="0" borderId="83" xfId="0" applyFont="1" applyFill="1" applyBorder="1" applyAlignment="1">
      <alignment horizont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43" fillId="0" borderId="35" xfId="0" applyFont="1" applyFill="1" applyBorder="1" applyAlignment="1">
      <alignment horizontal="left"/>
    </xf>
    <xf numFmtId="0" fontId="0" fillId="0" borderId="0" xfId="0" applyFont="1" applyAlignment="1"/>
    <xf numFmtId="0" fontId="2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25" xfId="0" applyFont="1" applyFill="1" applyBorder="1" applyAlignment="1">
      <alignment horizontal="center"/>
    </xf>
    <xf numFmtId="0" fontId="6" fillId="0" borderId="20" xfId="0" applyFont="1" applyBorder="1"/>
    <xf numFmtId="0" fontId="6" fillId="0" borderId="23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9" xfId="0" applyFont="1" applyBorder="1"/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3" borderId="10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 vertical="center" shrinkToFit="1"/>
    </xf>
    <xf numFmtId="0" fontId="2" fillId="6" borderId="25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2" fillId="6" borderId="64" xfId="0" applyFont="1" applyFill="1" applyBorder="1" applyAlignment="1">
      <alignment horizontal="center" vertical="center" shrinkToFit="1"/>
    </xf>
    <xf numFmtId="0" fontId="6" fillId="0" borderId="49" xfId="0" applyFont="1" applyBorder="1"/>
    <xf numFmtId="0" fontId="6" fillId="0" borderId="53" xfId="0" applyFont="1" applyBorder="1"/>
    <xf numFmtId="0" fontId="2" fillId="6" borderId="29" xfId="0" applyFont="1" applyFill="1" applyBorder="1" applyAlignment="1">
      <alignment horizontal="center" vertical="center" shrinkToFit="1"/>
    </xf>
    <xf numFmtId="0" fontId="6" fillId="0" borderId="29" xfId="0" applyFont="1" applyBorder="1"/>
    <xf numFmtId="0" fontId="6" fillId="0" borderId="71" xfId="0" applyFont="1" applyBorder="1"/>
    <xf numFmtId="0" fontId="2" fillId="6" borderId="49" xfId="0" applyFont="1" applyFill="1" applyBorder="1" applyAlignment="1">
      <alignment horizontal="center" vertical="center" shrinkToFit="1"/>
    </xf>
    <xf numFmtId="0" fontId="6" fillId="0" borderId="50" xfId="0" applyFont="1" applyBorder="1"/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64" fontId="8" fillId="25" borderId="30" xfId="0" applyNumberFormat="1" applyFont="1" applyFill="1" applyBorder="1" applyAlignment="1"/>
    <xf numFmtId="164" fontId="8" fillId="25" borderId="11" xfId="0" applyNumberFormat="1" applyFont="1" applyFill="1" applyBorder="1" applyAlignment="1"/>
    <xf numFmtId="43" fontId="34" fillId="24" borderId="35" xfId="1" applyFont="1" applyFill="1" applyBorder="1" applyAlignment="1"/>
    <xf numFmtId="164" fontId="8" fillId="25" borderId="41" xfId="0" applyNumberFormat="1" applyFont="1" applyFill="1" applyBorder="1" applyAlignment="1"/>
    <xf numFmtId="0" fontId="25" fillId="0" borderId="26" xfId="0" applyFont="1" applyFill="1" applyBorder="1" applyAlignment="1">
      <alignment horizontal="center"/>
    </xf>
    <xf numFmtId="43" fontId="34" fillId="26" borderId="26" xfId="1" applyFont="1" applyFill="1" applyBorder="1" applyAlignment="1">
      <alignment horizontal="center"/>
    </xf>
    <xf numFmtId="164" fontId="8" fillId="16" borderId="30" xfId="0" applyNumberFormat="1" applyFont="1" applyFill="1" applyBorder="1" applyAlignment="1">
      <alignment vertical="center"/>
    </xf>
    <xf numFmtId="0" fontId="35" fillId="0" borderId="35" xfId="0" applyFont="1" applyFill="1" applyBorder="1" applyAlignment="1">
      <alignment horizontal="left"/>
    </xf>
    <xf numFmtId="0" fontId="38" fillId="0" borderId="35" xfId="0" applyFont="1" applyBorder="1" applyAlignment="1">
      <alignment horizontal="center"/>
    </xf>
    <xf numFmtId="164" fontId="8" fillId="16" borderId="41" xfId="0" applyNumberFormat="1" applyFont="1" applyFill="1" applyBorder="1" applyAlignment="1">
      <alignment vertical="center"/>
    </xf>
    <xf numFmtId="43" fontId="34" fillId="20" borderId="35" xfId="1" applyFont="1" applyFill="1" applyBorder="1" applyAlignment="1">
      <alignment horizontal="center" vertical="center"/>
    </xf>
    <xf numFmtId="169" fontId="25" fillId="0" borderId="26" xfId="0" applyNumberFormat="1" applyFont="1" applyFill="1" applyBorder="1" applyAlignment="1">
      <alignment horizontal="center" wrapText="1"/>
    </xf>
    <xf numFmtId="0" fontId="46" fillId="0" borderId="26" xfId="0" applyFont="1" applyBorder="1" applyAlignment="1">
      <alignment horizontal="center" wrapText="1"/>
    </xf>
    <xf numFmtId="0" fontId="47" fillId="0" borderId="28" xfId="0" applyFont="1" applyFill="1" applyBorder="1" applyAlignment="1">
      <alignment horizontal="center"/>
    </xf>
    <xf numFmtId="0" fontId="47" fillId="0" borderId="28" xfId="0" applyNumberFormat="1" applyFont="1" applyFill="1" applyBorder="1" applyAlignment="1">
      <alignment horizontal="center"/>
    </xf>
    <xf numFmtId="43" fontId="34" fillId="24" borderId="28" xfId="1" applyFont="1" applyFill="1" applyBorder="1" applyAlignment="1"/>
    <xf numFmtId="43" fontId="34" fillId="24" borderId="28" xfId="1" applyFont="1" applyFill="1" applyBorder="1" applyAlignment="1">
      <alignment horizontal="center"/>
    </xf>
    <xf numFmtId="0" fontId="46" fillId="0" borderId="6" xfId="0" applyFont="1" applyBorder="1" applyAlignment="1">
      <alignment horizontal="center" wrapText="1"/>
    </xf>
    <xf numFmtId="0" fontId="8" fillId="3" borderId="97" xfId="0" applyFont="1" applyFill="1" applyBorder="1" applyAlignment="1">
      <alignment horizontal="center"/>
    </xf>
    <xf numFmtId="164" fontId="8" fillId="6" borderId="98" xfId="0" applyNumberFormat="1" applyFont="1" applyFill="1" applyBorder="1" applyAlignment="1">
      <alignment vertical="center"/>
    </xf>
    <xf numFmtId="164" fontId="8" fillId="6" borderId="99" xfId="0" applyNumberFormat="1" applyFont="1" applyFill="1" applyBorder="1" applyAlignment="1">
      <alignment vertical="center"/>
    </xf>
    <xf numFmtId="164" fontId="8" fillId="6" borderId="99" xfId="0" applyNumberFormat="1" applyFont="1" applyFill="1" applyBorder="1" applyAlignment="1">
      <alignment horizontal="center" vertical="center"/>
    </xf>
    <xf numFmtId="0" fontId="34" fillId="21" borderId="84" xfId="0" applyFont="1" applyFill="1" applyBorder="1" applyAlignment="1">
      <alignment horizontal="center"/>
    </xf>
    <xf numFmtId="164" fontId="9" fillId="18" borderId="100" xfId="0" applyNumberFormat="1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2DC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topLeftCell="A4" workbookViewId="0">
      <selection activeCell="L13" sqref="L13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477" t="s">
        <v>63</v>
      </c>
      <c r="B2" s="478"/>
      <c r="C2" s="478"/>
      <c r="D2" s="478"/>
      <c r="E2" s="478"/>
      <c r="F2" s="478"/>
      <c r="G2" s="478"/>
      <c r="H2" s="478"/>
      <c r="I2" s="478"/>
      <c r="J2" s="47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.75" thickBo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136"/>
      <c r="C4" s="136"/>
      <c r="D4" s="479" t="s">
        <v>0</v>
      </c>
      <c r="E4" s="480"/>
      <c r="F4" s="481"/>
      <c r="G4" s="263" t="s">
        <v>1</v>
      </c>
      <c r="H4" s="479" t="s">
        <v>1</v>
      </c>
      <c r="I4" s="481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8"/>
      <c r="B5" s="264" t="s">
        <v>2</v>
      </c>
      <c r="C5" s="265" t="s">
        <v>3</v>
      </c>
      <c r="D5" s="266" t="s">
        <v>4</v>
      </c>
      <c r="E5" s="266" t="s">
        <v>5</v>
      </c>
      <c r="F5" s="267" t="s">
        <v>6</v>
      </c>
      <c r="G5" s="266" t="s">
        <v>7</v>
      </c>
      <c r="H5" s="268" t="s">
        <v>8</v>
      </c>
      <c r="I5" s="269" t="s">
        <v>9</v>
      </c>
      <c r="J5" s="262" t="s">
        <v>10</v>
      </c>
    </row>
    <row r="6" spans="1:28" ht="24.75" customHeight="1" thickBot="1">
      <c r="A6" s="9"/>
      <c r="B6" s="525" t="s">
        <v>11</v>
      </c>
      <c r="C6" s="276" t="s">
        <v>49</v>
      </c>
      <c r="D6" s="526">
        <f>JAN!M7</f>
        <v>309.32</v>
      </c>
      <c r="E6" s="527">
        <f>JAN!N7</f>
        <v>113.2</v>
      </c>
      <c r="F6" s="527">
        <f>JAN!O7</f>
        <v>0</v>
      </c>
      <c r="G6" s="527">
        <f>JAN!P9</f>
        <v>0</v>
      </c>
      <c r="H6" s="528">
        <f>JAN!Q7</f>
        <v>4759.6499999999996</v>
      </c>
      <c r="I6" s="528">
        <f>JAN!R7</f>
        <v>1342.55</v>
      </c>
      <c r="J6" s="246">
        <f t="shared" ref="J6:J17" si="0">D6+E6+F6+G6+H6+I6</f>
        <v>6524.72</v>
      </c>
      <c r="K6" s="10"/>
      <c r="L6" s="11">
        <f>J6-JAN!S7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4.75" customHeight="1" thickBot="1">
      <c r="A7" s="9"/>
      <c r="B7" s="237" t="s">
        <v>12</v>
      </c>
      <c r="C7" s="276" t="s">
        <v>49</v>
      </c>
      <c r="D7" s="270">
        <f>FEV!M8</f>
        <v>0</v>
      </c>
      <c r="E7" s="12">
        <f>FEV!N8</f>
        <v>0</v>
      </c>
      <c r="F7" s="12">
        <f>FEV!O8</f>
        <v>0</v>
      </c>
      <c r="G7" s="12">
        <f>FEV!P10</f>
        <v>0</v>
      </c>
      <c r="H7" s="13">
        <f>FEV!Q8</f>
        <v>0</v>
      </c>
      <c r="I7" s="13">
        <f>FEV!R8</f>
        <v>0</v>
      </c>
      <c r="J7" s="247">
        <f t="shared" si="0"/>
        <v>0</v>
      </c>
      <c r="K7" s="10"/>
      <c r="L7" s="11">
        <f>J7-FEV!S8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24.75" customHeight="1" thickBot="1">
      <c r="A8" s="211"/>
      <c r="B8" s="238" t="s">
        <v>14</v>
      </c>
      <c r="C8" s="276" t="s">
        <v>49</v>
      </c>
      <c r="D8" s="270">
        <f>MAR!M21</f>
        <v>1047.06</v>
      </c>
      <c r="E8" s="12">
        <f>MAR!N21</f>
        <v>546.18000000000006</v>
      </c>
      <c r="F8" s="12">
        <f>MAR!O21</f>
        <v>100</v>
      </c>
      <c r="G8" s="12">
        <f>MAR!P23</f>
        <v>0</v>
      </c>
      <c r="H8" s="13">
        <f>MAR!Q21</f>
        <v>41563.599999999999</v>
      </c>
      <c r="I8" s="13">
        <f>MAR!R21</f>
        <v>8211.44</v>
      </c>
      <c r="J8" s="247">
        <f t="shared" si="0"/>
        <v>51468.28</v>
      </c>
      <c r="K8" s="10"/>
      <c r="L8" s="11">
        <f>J8-MAR!S21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4.75" customHeight="1" thickBot="1">
      <c r="A9" s="9"/>
      <c r="B9" s="237" t="s">
        <v>15</v>
      </c>
      <c r="C9" s="276" t="s">
        <v>49</v>
      </c>
      <c r="D9" s="270">
        <f>ABR!M9</f>
        <v>322.71000000000004</v>
      </c>
      <c r="E9" s="12">
        <f>ABR!N9</f>
        <v>176.18</v>
      </c>
      <c r="F9" s="12">
        <f>ABR!O9</f>
        <v>0</v>
      </c>
      <c r="G9" s="12">
        <f>ABR!P11</f>
        <v>0</v>
      </c>
      <c r="H9" s="13">
        <f>ABR!Q9</f>
        <v>8777.84</v>
      </c>
      <c r="I9" s="13">
        <f>ABR!R9</f>
        <v>1224.9000000000001</v>
      </c>
      <c r="J9" s="247">
        <f t="shared" si="0"/>
        <v>10501.63</v>
      </c>
      <c r="K9" s="10"/>
      <c r="L9" s="11">
        <f>J9-ABR!S9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4.75" customHeight="1" thickBot="1">
      <c r="A10" s="9"/>
      <c r="B10" s="237" t="s">
        <v>16</v>
      </c>
      <c r="C10" s="276" t="s">
        <v>49</v>
      </c>
      <c r="D10" s="270">
        <f>MAI!M15</f>
        <v>691.24</v>
      </c>
      <c r="E10" s="12">
        <f>MAI!N15</f>
        <v>1662.7000000000003</v>
      </c>
      <c r="F10" s="12">
        <f>MAI!O15</f>
        <v>116.69</v>
      </c>
      <c r="G10" s="12">
        <f>MAI!P17</f>
        <v>0</v>
      </c>
      <c r="H10" s="13">
        <f>MAI!Q15</f>
        <v>25858.190000000002</v>
      </c>
      <c r="I10" s="13">
        <f>MAI!R15</f>
        <v>3925.01</v>
      </c>
      <c r="J10" s="247">
        <f t="shared" si="0"/>
        <v>32253.83</v>
      </c>
      <c r="K10" s="10"/>
      <c r="L10" s="11">
        <f>J10-MAI!S15</f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 customHeight="1" thickBot="1">
      <c r="A11" s="9"/>
      <c r="B11" s="237" t="s">
        <v>17</v>
      </c>
      <c r="C11" s="276" t="s">
        <v>49</v>
      </c>
      <c r="D11" s="270">
        <f>JUN!M11</f>
        <v>2090.4300000000003</v>
      </c>
      <c r="E11" s="12">
        <f>JUN!N11</f>
        <v>149.4</v>
      </c>
      <c r="F11" s="12">
        <f>JUN!O11</f>
        <v>0</v>
      </c>
      <c r="G11" s="12">
        <f>JUN!P13</f>
        <v>0</v>
      </c>
      <c r="H11" s="13">
        <f>JUN!Q11</f>
        <v>15392.16</v>
      </c>
      <c r="I11" s="13">
        <f>JUN!R11</f>
        <v>19044.48</v>
      </c>
      <c r="J11" s="247">
        <f t="shared" si="0"/>
        <v>36676.47</v>
      </c>
      <c r="K11" s="10"/>
      <c r="L11" s="11">
        <f>J11-JUN!S11</f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4.75" customHeight="1" thickBot="1">
      <c r="A12" s="9"/>
      <c r="B12" s="237" t="s">
        <v>18</v>
      </c>
      <c r="C12" s="276" t="s">
        <v>49</v>
      </c>
      <c r="D12" s="270">
        <f>JUL!M15</f>
        <v>728.23</v>
      </c>
      <c r="E12" s="12">
        <f>JUL!N15</f>
        <v>1012.15</v>
      </c>
      <c r="F12" s="12">
        <f>JUL!O15</f>
        <v>0</v>
      </c>
      <c r="G12" s="12">
        <f>JUL!P17</f>
        <v>0</v>
      </c>
      <c r="H12" s="13">
        <f>JUL!Q15</f>
        <v>18829.12</v>
      </c>
      <c r="I12" s="13">
        <f>JUL!R15</f>
        <v>2180.17</v>
      </c>
      <c r="J12" s="247">
        <f t="shared" si="0"/>
        <v>22749.67</v>
      </c>
      <c r="K12" s="10"/>
      <c r="L12" s="11">
        <f>J12-JUL!S15</f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.75" customHeight="1" thickBot="1">
      <c r="A13" s="9"/>
      <c r="B13" s="238" t="s">
        <v>19</v>
      </c>
      <c r="C13" s="352" t="s">
        <v>62</v>
      </c>
      <c r="D13" s="270">
        <f>AGO!M11</f>
        <v>482.26</v>
      </c>
      <c r="E13" s="12">
        <f>AGO!N11</f>
        <v>524.14</v>
      </c>
      <c r="F13" s="12">
        <f>AGO!O11</f>
        <v>0</v>
      </c>
      <c r="G13" s="12">
        <f>AGO!P13</f>
        <v>0</v>
      </c>
      <c r="H13" s="13">
        <f>AGO!Q11</f>
        <v>12347.009999999998</v>
      </c>
      <c r="I13" s="13">
        <f>AGO!R11</f>
        <v>2855.54</v>
      </c>
      <c r="J13" s="247">
        <f t="shared" si="0"/>
        <v>16208.949999999997</v>
      </c>
      <c r="K13" s="10"/>
      <c r="L13" s="11">
        <f>J13-AGO!S11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4.75" customHeight="1" thickBot="1">
      <c r="A14" s="9"/>
      <c r="B14" s="238" t="s">
        <v>20</v>
      </c>
      <c r="C14" s="352" t="s">
        <v>62</v>
      </c>
      <c r="D14" s="270">
        <f>SET!M15</f>
        <v>470.08000000000004</v>
      </c>
      <c r="E14" s="12">
        <f>SET!N15</f>
        <v>465.3</v>
      </c>
      <c r="F14" s="12">
        <f>SET!O15</f>
        <v>0</v>
      </c>
      <c r="G14" s="12">
        <f>SET!P17</f>
        <v>0</v>
      </c>
      <c r="H14" s="13">
        <f>SET!Q15</f>
        <v>34442.78</v>
      </c>
      <c r="I14" s="13">
        <f>SET!R15</f>
        <v>569.29999999999995</v>
      </c>
      <c r="J14" s="247">
        <f t="shared" si="0"/>
        <v>35947.46</v>
      </c>
      <c r="K14" s="10"/>
      <c r="L14" s="11">
        <f>J14-SET!S15</f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.75" customHeight="1" thickBot="1">
      <c r="A15" s="9"/>
      <c r="B15" s="238" t="s">
        <v>21</v>
      </c>
      <c r="C15" s="352" t="s">
        <v>62</v>
      </c>
      <c r="D15" s="270">
        <f>OUT!M19</f>
        <v>392.06</v>
      </c>
      <c r="E15" s="12">
        <f>OUT!N19</f>
        <v>991</v>
      </c>
      <c r="F15" s="12">
        <f>OUT!O19</f>
        <v>0</v>
      </c>
      <c r="G15" s="12">
        <f>OUT!P21</f>
        <v>0</v>
      </c>
      <c r="H15" s="13">
        <f>OUT!Q19</f>
        <v>30247.290000000005</v>
      </c>
      <c r="I15" s="13">
        <f>OUT!R19</f>
        <v>4396.5</v>
      </c>
      <c r="J15" s="247">
        <f t="shared" si="0"/>
        <v>36026.850000000006</v>
      </c>
      <c r="K15" s="10"/>
      <c r="L15" s="11">
        <f>J15-OUT!S19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4.75" customHeight="1" thickBot="1">
      <c r="A16" s="9"/>
      <c r="B16" s="238" t="s">
        <v>22</v>
      </c>
      <c r="C16" s="276"/>
      <c r="D16" s="270">
        <f>NOV!M8</f>
        <v>0</v>
      </c>
      <c r="E16" s="12">
        <f>NOV!N8</f>
        <v>0</v>
      </c>
      <c r="F16" s="12">
        <f>NOV!O8</f>
        <v>0</v>
      </c>
      <c r="G16" s="12">
        <f>NOV!P10</f>
        <v>0</v>
      </c>
      <c r="H16" s="13">
        <f>NOV!Q8</f>
        <v>0</v>
      </c>
      <c r="I16" s="13">
        <f>NOV!R8</f>
        <v>0</v>
      </c>
      <c r="J16" s="247">
        <f t="shared" si="0"/>
        <v>0</v>
      </c>
      <c r="K16" s="10"/>
      <c r="L16" s="11">
        <f>J16-NOV!S8</f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4.75" customHeight="1" thickBot="1">
      <c r="A17" s="9"/>
      <c r="B17" s="239" t="s">
        <v>23</v>
      </c>
      <c r="C17" s="529"/>
      <c r="D17" s="271">
        <f>DEZ!M7</f>
        <v>0</v>
      </c>
      <c r="E17" s="240">
        <f>DEZ!N7</f>
        <v>0</v>
      </c>
      <c r="F17" s="240">
        <f>DEZ!O7</f>
        <v>0</v>
      </c>
      <c r="G17" s="240">
        <f>DEZ!P9</f>
        <v>0</v>
      </c>
      <c r="H17" s="241">
        <f>DEZ!Q7</f>
        <v>0</v>
      </c>
      <c r="I17" s="241">
        <f>DEZ!R7</f>
        <v>0</v>
      </c>
      <c r="J17" s="530">
        <f t="shared" si="0"/>
        <v>0</v>
      </c>
      <c r="K17" s="10"/>
      <c r="L17" s="11">
        <f>J17-DEZ!S7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thickBot="1">
      <c r="A18" s="14"/>
      <c r="B18" s="14"/>
      <c r="C18" s="15"/>
      <c r="D18" s="16"/>
      <c r="E18" s="16"/>
      <c r="F18" s="17"/>
      <c r="G18" s="17"/>
      <c r="H18" s="18"/>
      <c r="I18" s="19"/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>
      <c r="A19" s="21"/>
      <c r="B19" s="21"/>
      <c r="C19" s="22" t="s">
        <v>24</v>
      </c>
      <c r="D19" s="248">
        <f t="shared" ref="D19:I19" si="1">SUM(D6:D17)</f>
        <v>6533.39</v>
      </c>
      <c r="E19" s="249">
        <f t="shared" si="1"/>
        <v>5640.2500000000009</v>
      </c>
      <c r="F19" s="248">
        <f t="shared" si="1"/>
        <v>216.69</v>
      </c>
      <c r="G19" s="248">
        <f t="shared" si="1"/>
        <v>0</v>
      </c>
      <c r="H19" s="250">
        <f t="shared" si="1"/>
        <v>192217.63999999998</v>
      </c>
      <c r="I19" s="250">
        <f t="shared" si="1"/>
        <v>43749.89</v>
      </c>
      <c r="J19" s="2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>
      <c r="A20" s="24"/>
      <c r="B20" s="24"/>
      <c r="C20" s="24"/>
      <c r="D20" s="482"/>
      <c r="E20" s="478"/>
      <c r="F20" s="25"/>
      <c r="G20" s="25"/>
      <c r="H20" s="24"/>
      <c r="I20" s="24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4"/>
      <c r="B21" s="24"/>
      <c r="C21" s="24"/>
      <c r="D21" s="24"/>
      <c r="E21" s="27"/>
      <c r="F21" s="25"/>
      <c r="G21" s="25"/>
      <c r="H21" s="28"/>
      <c r="I21" s="29"/>
      <c r="J21" s="3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4"/>
      <c r="B22" s="24"/>
      <c r="C22" s="24"/>
      <c r="D22" s="483"/>
      <c r="E22" s="478"/>
      <c r="F22" s="31"/>
      <c r="G22" s="25"/>
      <c r="H22" s="32" t="s">
        <v>25</v>
      </c>
      <c r="I22" s="33">
        <f>D19+E19+F19+G19+H19+I19</f>
        <v>248357.86</v>
      </c>
      <c r="J22" s="3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B23" s="2" t="s">
        <v>26</v>
      </c>
      <c r="C23" s="2"/>
      <c r="D23" s="35">
        <v>45231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36" t="s">
        <v>27</v>
      </c>
    </row>
    <row r="25" spans="1:28" ht="15.75" customHeight="1">
      <c r="B25" s="210"/>
      <c r="C25" s="1"/>
      <c r="D25" s="1"/>
      <c r="E25" s="2"/>
      <c r="F25" s="3"/>
      <c r="G25" s="3"/>
      <c r="H25" s="4"/>
      <c r="I25" s="5"/>
      <c r="J25" s="37">
        <f>I22-J6-J7-J8-J9-J10-J11-J12-J13-J14-J15-J16-J17</f>
        <v>-3.637978807091713E-11</v>
      </c>
    </row>
    <row r="26" spans="1:28" ht="15.75" customHeight="1">
      <c r="B26" s="38"/>
      <c r="C26" s="38"/>
      <c r="D26" s="38"/>
      <c r="E26" s="2"/>
      <c r="F26" s="3"/>
      <c r="G26" s="3"/>
      <c r="H26" s="4"/>
      <c r="I26" s="5"/>
      <c r="J26" s="5"/>
    </row>
    <row r="27" spans="1:28" ht="15.75" customHeight="1">
      <c r="B27" s="38" t="s">
        <v>28</v>
      </c>
      <c r="C27" s="38"/>
      <c r="D27" s="38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212" t="s">
        <v>29</v>
      </c>
      <c r="C29" s="212"/>
      <c r="D29" s="212"/>
      <c r="E29" s="213"/>
      <c r="F29" s="3"/>
      <c r="G29" s="3"/>
      <c r="H29" s="4"/>
      <c r="I29" s="5"/>
      <c r="J29" s="5"/>
    </row>
    <row r="30" spans="1:28" ht="15.75" customHeight="1">
      <c r="B30" s="39" t="s">
        <v>30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39" t="s">
        <v>31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algorithmName="SHA-512" hashValue="YhwBxF/f8rz5VnbMNGAZNRhqU9dvSsWrplEHebi6LRH+ZVnB156mEtoVk7aDm2920Rs5TjdGLhmuiIjxBRaufw==" saltValue="qBp2y2RYC9n5vc6dBlKpxg==" spinCount="100000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E11" sqref="E1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customWidth="1"/>
    <col min="4" max="4" width="34" customWidth="1"/>
    <col min="5" max="5" width="18.125" customWidth="1"/>
    <col min="6" max="7" width="34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2.5" customHeight="1">
      <c r="B2" s="484" t="s">
        <v>50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</row>
    <row r="3" spans="1:37" ht="32.25" customHeight="1" thickBot="1">
      <c r="A3" s="41"/>
      <c r="B3" s="6"/>
      <c r="C3" s="6"/>
      <c r="D3" s="6"/>
      <c r="E3" s="6"/>
      <c r="F3" s="199"/>
      <c r="G3" s="6"/>
      <c r="H3" s="6"/>
      <c r="I3" s="6"/>
      <c r="J3" s="6"/>
      <c r="K3" s="6"/>
      <c r="L3" s="6"/>
      <c r="M3" s="486" t="s">
        <v>0</v>
      </c>
      <c r="N3" s="487"/>
      <c r="O3" s="488"/>
      <c r="P3" s="42" t="s">
        <v>32</v>
      </c>
      <c r="Q3" s="489" t="s">
        <v>33</v>
      </c>
      <c r="R3" s="487"/>
      <c r="S3" s="488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2" t="s">
        <v>34</v>
      </c>
      <c r="C4" s="143" t="s">
        <v>35</v>
      </c>
      <c r="D4" s="107" t="s">
        <v>36</v>
      </c>
      <c r="E4" s="82" t="s">
        <v>37</v>
      </c>
      <c r="F4" s="82" t="s">
        <v>38</v>
      </c>
      <c r="G4" s="83" t="s">
        <v>39</v>
      </c>
      <c r="H4" s="82" t="s">
        <v>40</v>
      </c>
      <c r="I4" s="82" t="s">
        <v>41</v>
      </c>
      <c r="J4" s="490" t="s">
        <v>42</v>
      </c>
      <c r="K4" s="480"/>
      <c r="L4" s="481"/>
      <c r="M4" s="144" t="s">
        <v>4</v>
      </c>
      <c r="N4" s="145" t="s">
        <v>5</v>
      </c>
      <c r="O4" s="145" t="s">
        <v>6</v>
      </c>
      <c r="P4" s="145" t="s">
        <v>43</v>
      </c>
      <c r="Q4" s="146" t="s">
        <v>8</v>
      </c>
      <c r="R4" s="87" t="s">
        <v>9</v>
      </c>
      <c r="S4" s="147" t="s">
        <v>44</v>
      </c>
    </row>
    <row r="5" spans="1:37" ht="27.75" customHeight="1" thickBot="1">
      <c r="A5" s="10"/>
      <c r="B5" s="381">
        <v>1</v>
      </c>
      <c r="C5" s="382" t="s">
        <v>64</v>
      </c>
      <c r="D5" s="383" t="s">
        <v>65</v>
      </c>
      <c r="E5" s="454" t="s">
        <v>227</v>
      </c>
      <c r="F5" s="384" t="s">
        <v>66</v>
      </c>
      <c r="G5" s="385" t="s">
        <v>67</v>
      </c>
      <c r="H5" s="386" t="str">
        <f t="shared" ref="H5" si="0">UPPER(G5)</f>
        <v>PARTICIPAR QUESTEL ORBIT USER MEETING BRAZIL 2023</v>
      </c>
      <c r="I5" s="385" t="s">
        <v>68</v>
      </c>
      <c r="J5" s="387" t="s">
        <v>69</v>
      </c>
      <c r="K5" s="388">
        <v>31</v>
      </c>
      <c r="L5" s="388">
        <v>3</v>
      </c>
      <c r="M5" s="389">
        <v>309.32</v>
      </c>
      <c r="N5" s="389">
        <v>113.2</v>
      </c>
      <c r="O5" s="390">
        <v>0</v>
      </c>
      <c r="P5" s="391">
        <v>0</v>
      </c>
      <c r="Q5" s="392">
        <v>4759.6499999999996</v>
      </c>
      <c r="R5" s="393">
        <f>977.55+365</f>
        <v>1342.55</v>
      </c>
      <c r="S5" s="394">
        <f t="shared" ref="S5" si="1">M5+N5+O5+P5+Q5+R5</f>
        <v>6524.72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5.75" customHeight="1" thickBot="1">
      <c r="A6" s="10"/>
      <c r="B6" s="14"/>
      <c r="C6" s="15"/>
      <c r="D6" s="16"/>
      <c r="E6" s="16"/>
      <c r="F6" s="16"/>
      <c r="G6" s="16"/>
      <c r="H6" s="16"/>
      <c r="I6" s="16"/>
      <c r="J6" s="57"/>
      <c r="K6" s="58"/>
      <c r="L6" s="58"/>
      <c r="M6" s="17"/>
      <c r="N6" s="17"/>
      <c r="O6" s="17"/>
      <c r="P6" s="11"/>
      <c r="Q6" s="18"/>
      <c r="R6" s="19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>
      <c r="A7" s="21"/>
      <c r="B7" s="59" t="s">
        <v>13</v>
      </c>
      <c r="C7" s="21"/>
      <c r="D7" s="60" t="s">
        <v>45</v>
      </c>
      <c r="E7" s="61"/>
      <c r="F7" s="21"/>
      <c r="G7" s="21"/>
      <c r="H7" s="21"/>
      <c r="I7" s="62"/>
      <c r="J7" s="21"/>
      <c r="K7" s="14"/>
      <c r="L7" s="21"/>
      <c r="M7" s="63">
        <f t="shared" ref="M7:R7" si="2">SUM(M5:M5)</f>
        <v>309.32</v>
      </c>
      <c r="N7" s="63">
        <f t="shared" si="2"/>
        <v>113.2</v>
      </c>
      <c r="O7" s="63">
        <f t="shared" si="2"/>
        <v>0</v>
      </c>
      <c r="P7" s="64">
        <f t="shared" si="2"/>
        <v>0</v>
      </c>
      <c r="Q7" s="65">
        <f t="shared" si="2"/>
        <v>4759.6499999999996</v>
      </c>
      <c r="R7" s="66">
        <f t="shared" si="2"/>
        <v>1342.55</v>
      </c>
      <c r="S7" s="23">
        <f>SUM(S5:S5)+P8</f>
        <v>6524.72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5.75" customHeight="1">
      <c r="A8" s="24"/>
      <c r="B8" s="24"/>
      <c r="C8" s="24"/>
      <c r="D8" s="482"/>
      <c r="E8" s="478"/>
      <c r="F8" s="478"/>
      <c r="G8" s="478"/>
      <c r="H8" s="478"/>
      <c r="I8" s="478"/>
      <c r="J8" s="478"/>
      <c r="K8" s="478"/>
      <c r="L8" s="24"/>
      <c r="M8" s="25"/>
      <c r="N8" s="67"/>
      <c r="O8" s="67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5.75" customHeight="1">
      <c r="A9" s="24"/>
      <c r="B9" s="24"/>
      <c r="C9" s="24"/>
      <c r="D9" s="24"/>
      <c r="E9" s="24"/>
      <c r="F9" s="24"/>
      <c r="G9" s="24"/>
      <c r="H9" s="24"/>
      <c r="I9" s="27"/>
      <c r="J9" s="24"/>
      <c r="K9" s="24"/>
      <c r="L9" s="24"/>
      <c r="M9" s="25"/>
      <c r="N9" s="25"/>
      <c r="O9" s="25"/>
      <c r="P9" s="68">
        <f>P7+P8</f>
        <v>0</v>
      </c>
      <c r="Q9" s="28"/>
      <c r="R9" s="29"/>
      <c r="S9" s="69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483"/>
      <c r="E10" s="478"/>
      <c r="F10" s="478"/>
      <c r="G10" s="478"/>
      <c r="H10" s="478"/>
      <c r="I10" s="478"/>
      <c r="J10" s="478"/>
      <c r="K10" s="478"/>
      <c r="L10" s="24"/>
      <c r="M10" s="25"/>
      <c r="N10" s="25"/>
      <c r="O10" s="25"/>
      <c r="P10" s="11"/>
      <c r="Q10" s="4" t="s">
        <v>25</v>
      </c>
      <c r="R10" s="70">
        <f>M7+N7+O7+P9+Q7+R7</f>
        <v>6524.72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67"/>
      <c r="O11" s="67" t="s">
        <v>13</v>
      </c>
      <c r="P11" s="11" t="s">
        <v>47</v>
      </c>
      <c r="Q11" s="4"/>
      <c r="R11" s="5"/>
      <c r="S11" s="5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7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24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Q27" s="4"/>
      <c r="R27" s="5"/>
      <c r="S27" s="5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Q28" s="4"/>
      <c r="R28" s="5"/>
      <c r="S28" s="5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15.75" customHeight="1">
      <c r="C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D24" sqref="D2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6.5" customHeight="1">
      <c r="B2" s="484" t="s">
        <v>51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</row>
    <row r="3" spans="1:37" ht="32.25" customHeight="1" thickBot="1">
      <c r="A3" s="41"/>
      <c r="B3" s="72"/>
      <c r="C3" s="72"/>
      <c r="D3" s="72"/>
      <c r="E3" s="72"/>
      <c r="F3" s="80" t="s">
        <v>48</v>
      </c>
      <c r="G3" s="72"/>
      <c r="H3" s="72"/>
      <c r="I3" s="72"/>
      <c r="J3" s="72"/>
      <c r="K3" s="72"/>
      <c r="L3" s="72"/>
      <c r="M3" s="486" t="s">
        <v>0</v>
      </c>
      <c r="N3" s="487"/>
      <c r="O3" s="488"/>
      <c r="P3" s="42" t="s">
        <v>32</v>
      </c>
      <c r="Q3" s="489" t="s">
        <v>33</v>
      </c>
      <c r="R3" s="487"/>
      <c r="S3" s="488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2" t="s">
        <v>34</v>
      </c>
      <c r="C4" s="143" t="s">
        <v>35</v>
      </c>
      <c r="D4" s="157" t="s">
        <v>36</v>
      </c>
      <c r="E4" s="82" t="s">
        <v>37</v>
      </c>
      <c r="F4" s="82" t="s">
        <v>38</v>
      </c>
      <c r="G4" s="83" t="s">
        <v>39</v>
      </c>
      <c r="H4" s="82" t="s">
        <v>40</v>
      </c>
      <c r="I4" s="158" t="s">
        <v>41</v>
      </c>
      <c r="J4" s="491" t="s">
        <v>42</v>
      </c>
      <c r="K4" s="480"/>
      <c r="L4" s="481"/>
      <c r="M4" s="84" t="s">
        <v>4</v>
      </c>
      <c r="N4" s="85" t="s">
        <v>5</v>
      </c>
      <c r="O4" s="86" t="s">
        <v>6</v>
      </c>
      <c r="P4" s="86" t="s">
        <v>4</v>
      </c>
      <c r="Q4" s="108" t="s">
        <v>8</v>
      </c>
      <c r="R4" s="87" t="s">
        <v>9</v>
      </c>
      <c r="S4" s="88" t="s">
        <v>44</v>
      </c>
    </row>
    <row r="5" spans="1:37" ht="22.5" customHeight="1">
      <c r="A5" s="10"/>
      <c r="B5" s="109">
        <v>1</v>
      </c>
      <c r="C5" s="148"/>
      <c r="D5" s="168"/>
      <c r="E5" s="169"/>
      <c r="F5" s="170"/>
      <c r="G5" s="113"/>
      <c r="H5" s="149"/>
      <c r="I5" s="150"/>
      <c r="J5" s="171"/>
      <c r="K5" s="172"/>
      <c r="L5" s="172"/>
      <c r="M5" s="117"/>
      <c r="N5" s="117"/>
      <c r="O5" s="117"/>
      <c r="P5" s="173"/>
      <c r="Q5" s="151"/>
      <c r="R5" s="152"/>
      <c r="S5" s="120">
        <f t="shared" ref="S5:S7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21">
        <v>2</v>
      </c>
      <c r="C6" s="45"/>
      <c r="D6" s="73"/>
      <c r="E6" s="55"/>
      <c r="F6" s="95"/>
      <c r="G6" s="46"/>
      <c r="H6" s="100"/>
      <c r="I6" s="54"/>
      <c r="J6" s="47"/>
      <c r="K6" s="48"/>
      <c r="L6" s="48"/>
      <c r="M6" s="49"/>
      <c r="N6" s="49"/>
      <c r="O6" s="49"/>
      <c r="P6" s="50"/>
      <c r="Q6" s="51"/>
      <c r="R6" s="52"/>
      <c r="S6" s="174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 thickBot="1">
      <c r="A7" s="10"/>
      <c r="B7" s="123">
        <v>3</v>
      </c>
      <c r="C7" s="138"/>
      <c r="D7" s="154"/>
      <c r="E7" s="175"/>
      <c r="F7" s="139"/>
      <c r="G7" s="126"/>
      <c r="H7" s="176"/>
      <c r="I7" s="177"/>
      <c r="J7" s="155"/>
      <c r="K7" s="140"/>
      <c r="L7" s="140"/>
      <c r="M7" s="131"/>
      <c r="N7" s="131"/>
      <c r="O7" s="131"/>
      <c r="P7" s="132"/>
      <c r="Q7" s="141"/>
      <c r="R7" s="142"/>
      <c r="S7" s="178">
        <f t="shared" si="0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 thickBot="1">
      <c r="A8" s="21"/>
      <c r="B8" s="159" t="s">
        <v>13</v>
      </c>
      <c r="C8" s="160"/>
      <c r="D8" s="161" t="s">
        <v>45</v>
      </c>
      <c r="E8" s="162"/>
      <c r="F8" s="160"/>
      <c r="G8" s="160"/>
      <c r="H8" s="160"/>
      <c r="I8" s="163"/>
      <c r="J8" s="160"/>
      <c r="K8" s="164"/>
      <c r="L8" s="160"/>
      <c r="M8" s="165">
        <f t="shared" ref="M8:R8" si="1">SUM(M5:M7)</f>
        <v>0</v>
      </c>
      <c r="N8" s="165">
        <f t="shared" si="1"/>
        <v>0</v>
      </c>
      <c r="O8" s="165">
        <f t="shared" si="1"/>
        <v>0</v>
      </c>
      <c r="P8" s="166">
        <f t="shared" si="1"/>
        <v>0</v>
      </c>
      <c r="Q8" s="65">
        <f t="shared" si="1"/>
        <v>0</v>
      </c>
      <c r="R8" s="66">
        <f t="shared" si="1"/>
        <v>0</v>
      </c>
      <c r="S8" s="167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 thickBot="1">
      <c r="A9" s="24"/>
      <c r="B9" s="24"/>
      <c r="C9" s="24"/>
      <c r="D9" s="482"/>
      <c r="E9" s="478"/>
      <c r="F9" s="478"/>
      <c r="G9" s="478"/>
      <c r="H9" s="478"/>
      <c r="I9" s="478"/>
      <c r="J9" s="478"/>
      <c r="K9" s="478"/>
      <c r="L9" s="24"/>
      <c r="M9" s="25"/>
      <c r="N9" s="67"/>
      <c r="O9" s="67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68">
        <f>P8+P9</f>
        <v>0</v>
      </c>
      <c r="Q10" s="28"/>
      <c r="R10" s="29"/>
      <c r="S10" s="69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24"/>
      <c r="D11" s="483"/>
      <c r="E11" s="478"/>
      <c r="F11" s="478"/>
      <c r="G11" s="478"/>
      <c r="H11" s="478"/>
      <c r="I11" s="478"/>
      <c r="J11" s="478"/>
      <c r="K11" s="478"/>
      <c r="L11" s="24"/>
      <c r="M11" s="25"/>
      <c r="N11" s="25"/>
      <c r="O11" s="25"/>
      <c r="P11" s="11"/>
      <c r="Q11" s="4" t="s">
        <v>25</v>
      </c>
      <c r="R11" s="70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67"/>
      <c r="O12" s="67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1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8"/>
  <sheetViews>
    <sheetView workbookViewId="0">
      <selection activeCell="E18" sqref="E18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5.8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20" width="16.625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8.75" thickBot="1">
      <c r="B2" s="477" t="s">
        <v>52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</row>
    <row r="3" spans="1:37" ht="32.25" customHeight="1" thickBot="1">
      <c r="A3" s="41"/>
      <c r="B3" s="72"/>
      <c r="C3" s="72"/>
      <c r="D3" s="72"/>
      <c r="E3" s="72"/>
      <c r="F3" s="199"/>
      <c r="G3" s="72"/>
      <c r="H3" s="72"/>
      <c r="I3" s="72"/>
      <c r="J3" s="72"/>
      <c r="K3" s="72"/>
      <c r="L3" s="72"/>
      <c r="M3" s="492" t="s">
        <v>0</v>
      </c>
      <c r="N3" s="480"/>
      <c r="O3" s="481"/>
      <c r="P3" s="42" t="s">
        <v>32</v>
      </c>
      <c r="Q3" s="493" t="s">
        <v>33</v>
      </c>
      <c r="R3" s="487"/>
      <c r="S3" s="488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187" t="s">
        <v>34</v>
      </c>
      <c r="C4" s="188" t="s">
        <v>35</v>
      </c>
      <c r="D4" s="343" t="s">
        <v>36</v>
      </c>
      <c r="E4" s="344" t="s">
        <v>37</v>
      </c>
      <c r="F4" s="341" t="s">
        <v>38</v>
      </c>
      <c r="G4" s="345" t="s">
        <v>39</v>
      </c>
      <c r="H4" s="189" t="s">
        <v>40</v>
      </c>
      <c r="I4" s="346" t="s">
        <v>41</v>
      </c>
      <c r="J4" s="494" t="s">
        <v>42</v>
      </c>
      <c r="K4" s="495"/>
      <c r="L4" s="496"/>
      <c r="M4" s="349" t="s">
        <v>4</v>
      </c>
      <c r="N4" s="351" t="s">
        <v>5</v>
      </c>
      <c r="O4" s="350" t="s">
        <v>6</v>
      </c>
      <c r="P4" s="348" t="s">
        <v>4</v>
      </c>
      <c r="Q4" s="347" t="s">
        <v>8</v>
      </c>
      <c r="R4" s="88" t="s">
        <v>9</v>
      </c>
      <c r="S4" s="88" t="s">
        <v>44</v>
      </c>
    </row>
    <row r="5" spans="1:37" ht="22.5" customHeight="1">
      <c r="A5" s="10"/>
      <c r="B5" s="109">
        <v>1</v>
      </c>
      <c r="C5" s="110" t="s">
        <v>70</v>
      </c>
      <c r="D5" s="359" t="s">
        <v>75</v>
      </c>
      <c r="E5" s="417" t="s">
        <v>228</v>
      </c>
      <c r="F5" s="360" t="s">
        <v>76</v>
      </c>
      <c r="G5" s="361" t="s">
        <v>77</v>
      </c>
      <c r="H5" s="113" t="str">
        <f>UPPER(G5)</f>
        <v>PARTICIPAÇÃO NO 18º CONGRESSO NACIONAL DE PREGOEIROS</v>
      </c>
      <c r="I5" s="114" t="s">
        <v>94</v>
      </c>
      <c r="J5" s="362" t="s">
        <v>97</v>
      </c>
      <c r="K5" s="111">
        <v>27</v>
      </c>
      <c r="L5" s="116">
        <v>1</v>
      </c>
      <c r="M5" s="363">
        <v>176.94</v>
      </c>
      <c r="N5" s="363">
        <v>0</v>
      </c>
      <c r="O5" s="364">
        <v>0</v>
      </c>
      <c r="P5" s="118">
        <v>0</v>
      </c>
      <c r="Q5" s="119">
        <f>874.73+1152.55</f>
        <v>2027.28</v>
      </c>
      <c r="R5" s="251">
        <f>2300.6+131.53</f>
        <v>2432.13</v>
      </c>
      <c r="S5" s="373">
        <f t="shared" ref="S5:S19" si="0">M5+N5+O5+P5+Q5+R5</f>
        <v>4636.3500000000004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29" customFormat="1" ht="22.5" customHeight="1">
      <c r="A6" s="10"/>
      <c r="B6" s="182">
        <v>2</v>
      </c>
      <c r="C6" s="99" t="s">
        <v>71</v>
      </c>
      <c r="D6" s="101" t="s">
        <v>78</v>
      </c>
      <c r="E6" s="443" t="s">
        <v>229</v>
      </c>
      <c r="F6" s="101" t="s">
        <v>79</v>
      </c>
      <c r="G6" s="273" t="s">
        <v>80</v>
      </c>
      <c r="H6" s="180" t="str">
        <f>UPPER(G6)</f>
        <v>PARTICIPAR DA REUNIÃO EXECUTIVA DO MEC</v>
      </c>
      <c r="I6" s="103" t="s">
        <v>95</v>
      </c>
      <c r="J6" s="104">
        <v>44986</v>
      </c>
      <c r="K6" s="101">
        <v>13</v>
      </c>
      <c r="L6" s="105">
        <v>14</v>
      </c>
      <c r="M6" s="356">
        <v>0</v>
      </c>
      <c r="N6" s="356">
        <v>0</v>
      </c>
      <c r="O6" s="358">
        <v>0</v>
      </c>
      <c r="P6" s="258">
        <v>0</v>
      </c>
      <c r="Q6" s="106">
        <f>2309.73+1643.27</f>
        <v>3953</v>
      </c>
      <c r="R6" s="251">
        <f>611.48+221.1</f>
        <v>832.58</v>
      </c>
      <c r="S6" s="374">
        <f>M6+N6+O6+P6+Q6+R6</f>
        <v>4785.58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29" customFormat="1" ht="22.5" customHeight="1">
      <c r="A7" s="10"/>
      <c r="B7" s="182">
        <v>3</v>
      </c>
      <c r="C7" s="99" t="s">
        <v>72</v>
      </c>
      <c r="D7" s="101" t="s">
        <v>81</v>
      </c>
      <c r="E7" s="434" t="s">
        <v>230</v>
      </c>
      <c r="F7" s="342" t="s">
        <v>82</v>
      </c>
      <c r="G7" s="102" t="s">
        <v>80</v>
      </c>
      <c r="H7" s="180" t="str">
        <f t="shared" ref="H7:H19" si="1">UPPER(G7)</f>
        <v>PARTICIPAR DA REUNIÃO EXECUTIVA DO MEC</v>
      </c>
      <c r="I7" s="103" t="s">
        <v>95</v>
      </c>
      <c r="J7" s="104">
        <v>44986</v>
      </c>
      <c r="K7" s="101">
        <v>13</v>
      </c>
      <c r="L7" s="105">
        <v>14</v>
      </c>
      <c r="M7" s="356">
        <v>165.87</v>
      </c>
      <c r="N7" s="356">
        <v>0</v>
      </c>
      <c r="O7" s="358">
        <v>0</v>
      </c>
      <c r="P7" s="258">
        <v>0</v>
      </c>
      <c r="Q7" s="106">
        <f>2189.73+1465.27</f>
        <v>3655</v>
      </c>
      <c r="R7" s="251">
        <f>227.15+611.48</f>
        <v>838.63</v>
      </c>
      <c r="S7" s="374">
        <f t="shared" ref="S7:S18" si="2">M7+N7+O7+P7+Q7+R7</f>
        <v>4659.5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29" customFormat="1" ht="22.5" customHeight="1">
      <c r="A8" s="10"/>
      <c r="B8" s="182">
        <v>4</v>
      </c>
      <c r="C8" s="99" t="s">
        <v>73</v>
      </c>
      <c r="D8" s="101" t="s">
        <v>83</v>
      </c>
      <c r="E8" s="434" t="s">
        <v>231</v>
      </c>
      <c r="F8" s="333" t="s">
        <v>84</v>
      </c>
      <c r="G8" s="273" t="s">
        <v>80</v>
      </c>
      <c r="H8" s="180" t="str">
        <f t="shared" si="1"/>
        <v>PARTICIPAR DA REUNIÃO EXECUTIVA DO MEC</v>
      </c>
      <c r="I8" s="103" t="s">
        <v>95</v>
      </c>
      <c r="J8" s="104">
        <v>44986</v>
      </c>
      <c r="K8" s="101">
        <v>13</v>
      </c>
      <c r="L8" s="105">
        <v>14</v>
      </c>
      <c r="M8" s="356">
        <v>0</v>
      </c>
      <c r="N8" s="356">
        <v>0</v>
      </c>
      <c r="O8" s="358">
        <v>0</v>
      </c>
      <c r="P8" s="258">
        <v>0</v>
      </c>
      <c r="Q8" s="106">
        <f>1487.73+1465.27</f>
        <v>2953</v>
      </c>
      <c r="R8" s="336">
        <v>678</v>
      </c>
      <c r="S8" s="374">
        <f t="shared" si="2"/>
        <v>3631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29" customFormat="1" ht="27.75" customHeight="1" thickBot="1">
      <c r="A9" s="10"/>
      <c r="B9" s="182">
        <v>5</v>
      </c>
      <c r="C9" s="99" t="s">
        <v>74</v>
      </c>
      <c r="D9" s="101" t="s">
        <v>85</v>
      </c>
      <c r="E9" s="434" t="s">
        <v>232</v>
      </c>
      <c r="F9" s="365" t="s">
        <v>86</v>
      </c>
      <c r="G9" s="337" t="s">
        <v>87</v>
      </c>
      <c r="H9" s="180" t="str">
        <f t="shared" si="1"/>
        <v>PARTICIPAÇÃO NO 4º SEMINÁRIO NACIONAL DAS ESTATAIS</v>
      </c>
      <c r="I9" s="103" t="s">
        <v>96</v>
      </c>
      <c r="J9" s="334">
        <v>45017</v>
      </c>
      <c r="K9" s="339">
        <v>23</v>
      </c>
      <c r="L9" s="340">
        <v>26</v>
      </c>
      <c r="M9" s="356">
        <v>55.01</v>
      </c>
      <c r="N9" s="356">
        <v>157.81</v>
      </c>
      <c r="O9" s="358">
        <v>0</v>
      </c>
      <c r="P9" s="258">
        <v>0</v>
      </c>
      <c r="Q9" s="106">
        <f>650.73+439.55</f>
        <v>1090.28</v>
      </c>
      <c r="R9" s="336">
        <f>1082.7+55</f>
        <v>1137.7</v>
      </c>
      <c r="S9" s="374">
        <f t="shared" si="2"/>
        <v>2440.8000000000002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29" customFormat="1" ht="22.5" customHeight="1" thickBot="1">
      <c r="A10" s="10"/>
      <c r="B10" s="182">
        <v>6</v>
      </c>
      <c r="C10" s="99" t="s">
        <v>74</v>
      </c>
      <c r="D10" s="101" t="s">
        <v>88</v>
      </c>
      <c r="E10" s="434" t="s">
        <v>233</v>
      </c>
      <c r="F10" s="338" t="s">
        <v>89</v>
      </c>
      <c r="G10" s="337" t="s">
        <v>87</v>
      </c>
      <c r="H10" s="180" t="str">
        <f t="shared" si="1"/>
        <v>PARTICIPAÇÃO NO 4º SEMINÁRIO NACIONAL DAS ESTATAIS</v>
      </c>
      <c r="I10" s="103" t="s">
        <v>96</v>
      </c>
      <c r="J10" s="334">
        <v>45017</v>
      </c>
      <c r="K10" s="339">
        <v>23</v>
      </c>
      <c r="L10" s="340">
        <v>26</v>
      </c>
      <c r="M10" s="356">
        <v>0</v>
      </c>
      <c r="N10" s="356">
        <v>0</v>
      </c>
      <c r="O10" s="358">
        <v>0</v>
      </c>
      <c r="P10" s="258">
        <v>0</v>
      </c>
      <c r="Q10" s="106">
        <f>650.73+439.55</f>
        <v>1090.28</v>
      </c>
      <c r="R10" s="335">
        <v>0</v>
      </c>
      <c r="S10" s="374">
        <f t="shared" si="2"/>
        <v>1090.28</v>
      </c>
      <c r="T10" s="376" t="s">
        <v>116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29" customFormat="1" ht="22.5" customHeight="1">
      <c r="A11" s="10"/>
      <c r="B11" s="182">
        <v>7</v>
      </c>
      <c r="C11" s="99" t="s">
        <v>74</v>
      </c>
      <c r="D11" s="101" t="s">
        <v>90</v>
      </c>
      <c r="E11" s="434" t="s">
        <v>234</v>
      </c>
      <c r="F11" s="338" t="s">
        <v>91</v>
      </c>
      <c r="G11" s="337" t="s">
        <v>87</v>
      </c>
      <c r="H11" s="180" t="str">
        <f t="shared" si="1"/>
        <v>PARTICIPAÇÃO NO 4º SEMINÁRIO NACIONAL DAS ESTATAIS</v>
      </c>
      <c r="I11" s="103" t="s">
        <v>96</v>
      </c>
      <c r="J11" s="334">
        <v>45017</v>
      </c>
      <c r="K11" s="339">
        <v>23</v>
      </c>
      <c r="L11" s="340">
        <v>26</v>
      </c>
      <c r="M11" s="356">
        <v>81.569999999999993</v>
      </c>
      <c r="N11" s="356">
        <v>62.66</v>
      </c>
      <c r="O11" s="358">
        <v>0</v>
      </c>
      <c r="P11" s="258">
        <v>0</v>
      </c>
      <c r="Q11" s="106">
        <f>650.73+439.55</f>
        <v>1090.28</v>
      </c>
      <c r="R11" s="336">
        <f>1082.7+56</f>
        <v>1138.7</v>
      </c>
      <c r="S11" s="374">
        <f t="shared" si="2"/>
        <v>2373.21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29" customFormat="1" ht="22.5" customHeight="1">
      <c r="A12" s="10"/>
      <c r="B12" s="182">
        <v>8</v>
      </c>
      <c r="C12" s="99" t="s">
        <v>74</v>
      </c>
      <c r="D12" s="101" t="s">
        <v>92</v>
      </c>
      <c r="E12" s="434" t="s">
        <v>235</v>
      </c>
      <c r="F12" s="333" t="s">
        <v>93</v>
      </c>
      <c r="G12" s="337" t="s">
        <v>87</v>
      </c>
      <c r="H12" s="180" t="str">
        <f t="shared" si="1"/>
        <v>PARTICIPAÇÃO NO 4º SEMINÁRIO NACIONAL DAS ESTATAIS</v>
      </c>
      <c r="I12" s="103" t="s">
        <v>96</v>
      </c>
      <c r="J12" s="334">
        <v>45017</v>
      </c>
      <c r="K12" s="339">
        <v>23</v>
      </c>
      <c r="L12" s="340">
        <v>26</v>
      </c>
      <c r="M12" s="356">
        <v>42.76</v>
      </c>
      <c r="N12" s="356">
        <v>150.11000000000001</v>
      </c>
      <c r="O12" s="358">
        <v>0</v>
      </c>
      <c r="P12" s="258">
        <v>0</v>
      </c>
      <c r="Q12" s="106">
        <f>650.73+439.55</f>
        <v>1090.28</v>
      </c>
      <c r="R12" s="336">
        <f>1082.7+71</f>
        <v>1153.7</v>
      </c>
      <c r="S12" s="374">
        <f t="shared" si="2"/>
        <v>2436.8500000000004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29" customFormat="1" ht="22.5" customHeight="1">
      <c r="A13" s="10"/>
      <c r="B13" s="182">
        <v>9</v>
      </c>
      <c r="C13" s="99" t="s">
        <v>98</v>
      </c>
      <c r="D13" s="101" t="s">
        <v>81</v>
      </c>
      <c r="E13" s="434" t="s">
        <v>230</v>
      </c>
      <c r="F13" s="333" t="s">
        <v>82</v>
      </c>
      <c r="G13" s="337" t="s">
        <v>105</v>
      </c>
      <c r="H13" s="180" t="str">
        <f t="shared" si="1"/>
        <v>REUNIÃO CONSELHO FISCAL DA BB PREVIDÊNCIA</v>
      </c>
      <c r="I13" s="103" t="s">
        <v>95</v>
      </c>
      <c r="J13" s="104">
        <v>44986</v>
      </c>
      <c r="K13" s="101">
        <v>22</v>
      </c>
      <c r="L13" s="105">
        <v>23</v>
      </c>
      <c r="M13" s="356">
        <v>0</v>
      </c>
      <c r="N13" s="356">
        <v>0</v>
      </c>
      <c r="O13" s="335">
        <v>0</v>
      </c>
      <c r="P13" s="258">
        <v>0</v>
      </c>
      <c r="Q13" s="357">
        <v>0</v>
      </c>
      <c r="R13" s="336">
        <v>0</v>
      </c>
      <c r="S13" s="374">
        <f t="shared" si="2"/>
        <v>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329" customFormat="1" ht="22.5" customHeight="1">
      <c r="A14" s="10"/>
      <c r="B14" s="182">
        <v>10</v>
      </c>
      <c r="C14" s="366" t="s">
        <v>99</v>
      </c>
      <c r="D14" s="101" t="s">
        <v>78</v>
      </c>
      <c r="E14" s="443" t="s">
        <v>229</v>
      </c>
      <c r="F14" s="101" t="s">
        <v>79</v>
      </c>
      <c r="G14" s="273" t="s">
        <v>106</v>
      </c>
      <c r="H14" s="180" t="str">
        <f t="shared" si="1"/>
        <v>PARTICIPAR DA REUNIÃO DA SEST</v>
      </c>
      <c r="I14" s="103" t="s">
        <v>114</v>
      </c>
      <c r="J14" s="334">
        <v>45017</v>
      </c>
      <c r="K14" s="101">
        <v>10</v>
      </c>
      <c r="L14" s="105">
        <v>10</v>
      </c>
      <c r="M14" s="356">
        <v>0</v>
      </c>
      <c r="N14" s="356">
        <v>0</v>
      </c>
      <c r="O14" s="335">
        <v>0</v>
      </c>
      <c r="P14" s="258">
        <v>0</v>
      </c>
      <c r="Q14" s="357">
        <f>699.73+929.27+2365.1</f>
        <v>3994.1</v>
      </c>
      <c r="R14" s="336">
        <v>0</v>
      </c>
      <c r="S14" s="374">
        <f t="shared" si="2"/>
        <v>3994.1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329" customFormat="1" ht="22.5" customHeight="1">
      <c r="A15" s="10"/>
      <c r="B15" s="182">
        <v>11</v>
      </c>
      <c r="C15" s="354" t="s">
        <v>100</v>
      </c>
      <c r="D15" s="101" t="s">
        <v>81</v>
      </c>
      <c r="E15" s="434" t="s">
        <v>230</v>
      </c>
      <c r="F15" s="342" t="s">
        <v>82</v>
      </c>
      <c r="G15" s="102" t="s">
        <v>106</v>
      </c>
      <c r="H15" s="180" t="str">
        <f t="shared" si="1"/>
        <v>PARTICIPAR DA REUNIÃO DA SEST</v>
      </c>
      <c r="I15" s="103" t="s">
        <v>115</v>
      </c>
      <c r="J15" s="334">
        <v>45017</v>
      </c>
      <c r="K15" s="101">
        <v>10</v>
      </c>
      <c r="L15" s="105">
        <v>10</v>
      </c>
      <c r="M15" s="356">
        <v>183.57</v>
      </c>
      <c r="N15" s="356">
        <v>82.8</v>
      </c>
      <c r="O15" s="335">
        <v>0</v>
      </c>
      <c r="P15" s="258">
        <v>0</v>
      </c>
      <c r="Q15" s="357">
        <f>698.73+929.27+2366.1</f>
        <v>3994.1</v>
      </c>
      <c r="R15" s="336">
        <v>0</v>
      </c>
      <c r="S15" s="374">
        <f t="shared" si="2"/>
        <v>4260.47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329" customFormat="1" ht="22.5" customHeight="1">
      <c r="A16" s="10"/>
      <c r="B16" s="182">
        <v>12</v>
      </c>
      <c r="C16" s="355" t="s">
        <v>101</v>
      </c>
      <c r="D16" s="101" t="s">
        <v>88</v>
      </c>
      <c r="E16" s="434" t="s">
        <v>233</v>
      </c>
      <c r="F16" s="338" t="s">
        <v>89</v>
      </c>
      <c r="G16" s="337" t="s">
        <v>107</v>
      </c>
      <c r="H16" s="180" t="str">
        <f t="shared" si="1"/>
        <v>AUDIÊNCIAS NO TCU</v>
      </c>
      <c r="I16" s="103" t="s">
        <v>115</v>
      </c>
      <c r="J16" s="104">
        <v>44986</v>
      </c>
      <c r="K16" s="101">
        <v>29</v>
      </c>
      <c r="L16" s="105">
        <v>29</v>
      </c>
      <c r="M16" s="356">
        <v>117.45</v>
      </c>
      <c r="N16" s="356">
        <v>0</v>
      </c>
      <c r="O16" s="335">
        <v>100</v>
      </c>
      <c r="P16" s="258">
        <v>0</v>
      </c>
      <c r="Q16" s="357">
        <v>3699</v>
      </c>
      <c r="R16" s="336">
        <v>0</v>
      </c>
      <c r="S16" s="374">
        <f t="shared" si="2"/>
        <v>3916.45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329" customFormat="1" ht="22.5" customHeight="1">
      <c r="A17" s="10"/>
      <c r="B17" s="182">
        <v>13</v>
      </c>
      <c r="C17" s="355" t="s">
        <v>102</v>
      </c>
      <c r="D17" s="101" t="s">
        <v>108</v>
      </c>
      <c r="E17" s="434" t="s">
        <v>236</v>
      </c>
      <c r="F17" s="338" t="s">
        <v>109</v>
      </c>
      <c r="G17" s="337" t="s">
        <v>107</v>
      </c>
      <c r="H17" s="180" t="str">
        <f t="shared" si="1"/>
        <v>AUDIÊNCIAS NO TCU</v>
      </c>
      <c r="I17" s="103" t="s">
        <v>115</v>
      </c>
      <c r="J17" s="104">
        <v>44986</v>
      </c>
      <c r="K17" s="101">
        <v>29</v>
      </c>
      <c r="L17" s="105">
        <v>29</v>
      </c>
      <c r="M17" s="356">
        <v>66</v>
      </c>
      <c r="N17" s="356">
        <v>0</v>
      </c>
      <c r="O17" s="335">
        <v>0</v>
      </c>
      <c r="P17" s="258">
        <v>0</v>
      </c>
      <c r="Q17" s="357">
        <v>3699</v>
      </c>
      <c r="R17" s="336">
        <v>0</v>
      </c>
      <c r="S17" s="374">
        <f t="shared" si="2"/>
        <v>3765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2.5" customHeight="1">
      <c r="A18" s="10"/>
      <c r="B18" s="182">
        <v>14</v>
      </c>
      <c r="C18" s="99" t="s">
        <v>103</v>
      </c>
      <c r="D18" s="101" t="s">
        <v>110</v>
      </c>
      <c r="E18" s="434" t="s">
        <v>237</v>
      </c>
      <c r="F18" s="333" t="s">
        <v>111</v>
      </c>
      <c r="G18" s="102" t="s">
        <v>106</v>
      </c>
      <c r="H18" s="180" t="str">
        <f t="shared" si="1"/>
        <v>PARTICIPAR DA REUNIÃO DA SEST</v>
      </c>
      <c r="I18" s="103" t="s">
        <v>115</v>
      </c>
      <c r="J18" s="334">
        <v>45017</v>
      </c>
      <c r="K18" s="101">
        <v>10</v>
      </c>
      <c r="L18" s="105">
        <v>10</v>
      </c>
      <c r="M18" s="356">
        <v>96.3</v>
      </c>
      <c r="N18" s="356">
        <v>0</v>
      </c>
      <c r="O18" s="335">
        <v>0</v>
      </c>
      <c r="P18" s="50">
        <v>0</v>
      </c>
      <c r="Q18" s="357">
        <f>1133.73+1534.27+1833</f>
        <v>4501</v>
      </c>
      <c r="R18" s="336">
        <v>0</v>
      </c>
      <c r="S18" s="374">
        <f t="shared" si="2"/>
        <v>4597.3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2.5" customHeight="1" thickBot="1">
      <c r="A19" s="10"/>
      <c r="B19" s="123">
        <v>15</v>
      </c>
      <c r="C19" s="367" t="s">
        <v>104</v>
      </c>
      <c r="D19" s="129" t="s">
        <v>112</v>
      </c>
      <c r="E19" s="445" t="s">
        <v>238</v>
      </c>
      <c r="F19" s="124" t="s">
        <v>113</v>
      </c>
      <c r="G19" s="125" t="s">
        <v>106</v>
      </c>
      <c r="H19" s="316" t="str">
        <f t="shared" si="1"/>
        <v>PARTICIPAR DA REUNIÃO DA SEST</v>
      </c>
      <c r="I19" s="127" t="s">
        <v>115</v>
      </c>
      <c r="J19" s="368">
        <v>45017</v>
      </c>
      <c r="K19" s="129">
        <v>10</v>
      </c>
      <c r="L19" s="130">
        <v>10</v>
      </c>
      <c r="M19" s="369">
        <v>61.59</v>
      </c>
      <c r="N19" s="369">
        <v>92.8</v>
      </c>
      <c r="O19" s="370">
        <v>0</v>
      </c>
      <c r="P19" s="156">
        <v>0</v>
      </c>
      <c r="Q19" s="371">
        <f>1133.73+1308.27+2285</f>
        <v>4727</v>
      </c>
      <c r="R19" s="336">
        <v>0</v>
      </c>
      <c r="S19" s="375">
        <f t="shared" si="0"/>
        <v>4881.3900000000003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.75" customHeight="1" thickBot="1">
      <c r="A20" s="10"/>
      <c r="B20" s="14"/>
      <c r="C20" s="15"/>
      <c r="D20" s="16"/>
      <c r="E20" s="16"/>
      <c r="F20" s="16"/>
      <c r="G20" s="16"/>
      <c r="H20" s="16"/>
      <c r="I20" s="16"/>
      <c r="J20" s="57"/>
      <c r="K20" s="58"/>
      <c r="L20" s="58"/>
      <c r="M20" s="17"/>
      <c r="N20" s="17"/>
      <c r="O20" s="17"/>
      <c r="P20" s="11"/>
      <c r="Q20" s="18"/>
      <c r="R20" s="336"/>
      <c r="S20" s="2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15.75" customHeight="1" thickBot="1">
      <c r="A21" s="21"/>
      <c r="B21" s="59" t="s">
        <v>13</v>
      </c>
      <c r="C21" s="21"/>
      <c r="D21" s="60" t="s">
        <v>45</v>
      </c>
      <c r="E21" s="61"/>
      <c r="F21" s="21"/>
      <c r="G21" s="21"/>
      <c r="H21" s="21"/>
      <c r="I21" s="62"/>
      <c r="J21" s="21"/>
      <c r="K21" s="14"/>
      <c r="L21" s="21"/>
      <c r="M21" s="63">
        <f t="shared" ref="M21:R21" si="3">SUM(M5:M19)</f>
        <v>1047.06</v>
      </c>
      <c r="N21" s="63">
        <f t="shared" si="3"/>
        <v>546.18000000000006</v>
      </c>
      <c r="O21" s="63">
        <f t="shared" si="3"/>
        <v>100</v>
      </c>
      <c r="P21" s="75">
        <f t="shared" si="3"/>
        <v>0</v>
      </c>
      <c r="Q21" s="65">
        <f t="shared" si="3"/>
        <v>41563.599999999999</v>
      </c>
      <c r="R21" s="66">
        <f t="shared" si="3"/>
        <v>8211.44</v>
      </c>
      <c r="S21" s="23">
        <f>SUM(S5:S19)+P22</f>
        <v>51468.28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4"/>
      <c r="B22" s="24"/>
      <c r="C22" s="24"/>
      <c r="D22" s="482"/>
      <c r="E22" s="478"/>
      <c r="F22" s="478"/>
      <c r="G22" s="478"/>
      <c r="H22" s="478"/>
      <c r="I22" s="478"/>
      <c r="J22" s="478"/>
      <c r="K22" s="478"/>
      <c r="L22" s="24"/>
      <c r="M22" s="25"/>
      <c r="N22" s="25"/>
      <c r="O22" s="67" t="s">
        <v>13</v>
      </c>
      <c r="P22" s="11">
        <f>P21*1%</f>
        <v>0</v>
      </c>
      <c r="Q22" s="24"/>
      <c r="R22" s="24"/>
      <c r="S22" s="29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15.75" customHeight="1">
      <c r="A23" s="24"/>
      <c r="B23" s="24"/>
      <c r="C23" s="24"/>
      <c r="D23" s="61"/>
      <c r="E23" s="61"/>
      <c r="F23" s="24"/>
      <c r="G23" s="24"/>
      <c r="H23" s="24"/>
      <c r="I23" s="27"/>
      <c r="J23" s="24"/>
      <c r="K23" s="24"/>
      <c r="L23" s="24"/>
      <c r="M23" s="25"/>
      <c r="N23" s="25"/>
      <c r="O23" s="25"/>
      <c r="P23" s="68">
        <f>P21+P22</f>
        <v>0</v>
      </c>
      <c r="Q23" s="28"/>
      <c r="R23" s="29"/>
      <c r="S23" s="69" t="s">
        <v>46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ht="15.75" customHeight="1">
      <c r="A24" s="24"/>
      <c r="B24" s="24"/>
      <c r="C24" s="24"/>
      <c r="D24" s="483"/>
      <c r="E24" s="478"/>
      <c r="F24" s="478"/>
      <c r="G24" s="478"/>
      <c r="H24" s="478"/>
      <c r="I24" s="478"/>
      <c r="J24" s="478"/>
      <c r="K24" s="478"/>
      <c r="L24" s="24"/>
      <c r="M24" s="25"/>
      <c r="N24" s="25"/>
      <c r="O24" s="25"/>
      <c r="P24" s="11"/>
      <c r="Q24" s="4" t="s">
        <v>25</v>
      </c>
      <c r="R24" s="70">
        <f>M21+N21+O21+P23+Q21+R21</f>
        <v>51468.28</v>
      </c>
      <c r="S24" s="34">
        <f>S21-R24</f>
        <v>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67" t="s">
        <v>13</v>
      </c>
      <c r="P25" s="11" t="s">
        <v>47</v>
      </c>
      <c r="Q25" s="4"/>
      <c r="R25" s="5"/>
      <c r="S25" s="5"/>
    </row>
    <row r="26" spans="1:37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11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11"/>
    </row>
    <row r="33" spans="3:16" ht="15.75" customHeight="1">
      <c r="C33" s="1"/>
      <c r="I33" s="2"/>
      <c r="J33" s="40"/>
      <c r="K33" s="40"/>
      <c r="L33" s="40"/>
      <c r="M33" s="3"/>
      <c r="N33" s="3"/>
      <c r="O33" s="3"/>
      <c r="P33" s="11"/>
    </row>
    <row r="34" spans="3:16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11"/>
    </row>
    <row r="35" spans="3:16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P35" s="71"/>
    </row>
    <row r="36" spans="3:16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P36" s="24"/>
    </row>
    <row r="37" spans="3:16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P37" s="24"/>
    </row>
    <row r="38" spans="3:16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P38" s="24"/>
    </row>
    <row r="39" spans="3:16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6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6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6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6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6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6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6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6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6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15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15.75" customHeight="1">
      <c r="C100" s="1"/>
      <c r="D100" s="1"/>
      <c r="E100" s="1"/>
      <c r="F100" s="1"/>
      <c r="G100" s="1"/>
      <c r="H100" s="1"/>
      <c r="I100" s="2"/>
      <c r="J100" s="40"/>
      <c r="K100" s="40"/>
      <c r="L100" s="40"/>
    </row>
    <row r="101" spans="3:19" ht="15.75" customHeight="1">
      <c r="C101" s="1"/>
      <c r="D101" s="1"/>
      <c r="E101" s="1"/>
      <c r="F101" s="1"/>
      <c r="G101" s="1"/>
      <c r="H101" s="1"/>
      <c r="I101" s="2"/>
      <c r="J101" s="40"/>
      <c r="K101" s="40"/>
      <c r="L101" s="40"/>
    </row>
    <row r="102" spans="3:19" ht="15.75" customHeight="1">
      <c r="C102" s="1"/>
      <c r="D102" s="1"/>
      <c r="E102" s="1"/>
      <c r="F102" s="1"/>
      <c r="G102" s="1"/>
      <c r="H102" s="1"/>
      <c r="I102" s="2"/>
      <c r="J102" s="40"/>
      <c r="K102" s="40"/>
      <c r="L102" s="40"/>
    </row>
    <row r="103" spans="3:19" ht="15.75" customHeight="1">
      <c r="C103" s="1"/>
      <c r="D103" s="1"/>
      <c r="E103" s="1"/>
      <c r="F103" s="1"/>
      <c r="G103" s="1"/>
      <c r="H103" s="1"/>
      <c r="I103" s="2"/>
      <c r="J103" s="40"/>
      <c r="K103" s="40"/>
      <c r="L103" s="40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</sheetData>
  <sheetProtection password="CC27" sheet="1" objects="1" scenarios="1"/>
  <mergeCells count="6">
    <mergeCell ref="D24:K24"/>
    <mergeCell ref="B2:S2"/>
    <mergeCell ref="M3:O3"/>
    <mergeCell ref="Q3:S3"/>
    <mergeCell ref="J4:L4"/>
    <mergeCell ref="D22:K22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8"/>
  <sheetViews>
    <sheetView workbookViewId="0">
      <selection activeCell="F11" sqref="F1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.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5.75" style="328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  <c r="T1" s="5"/>
    </row>
    <row r="2" spans="1:37" ht="18.75" thickBot="1">
      <c r="A2" s="41"/>
      <c r="B2" s="484" t="s">
        <v>53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330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199"/>
      <c r="G3" s="6"/>
      <c r="H3" s="6"/>
      <c r="I3" s="6"/>
      <c r="J3" s="6"/>
      <c r="K3" s="6"/>
      <c r="L3" s="6"/>
      <c r="M3" s="486" t="s">
        <v>0</v>
      </c>
      <c r="N3" s="487"/>
      <c r="O3" s="488"/>
      <c r="P3" s="42" t="s">
        <v>32</v>
      </c>
      <c r="Q3" s="489" t="s">
        <v>33</v>
      </c>
      <c r="R3" s="487"/>
      <c r="S3" s="488"/>
      <c r="T3" s="330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2" t="s">
        <v>34</v>
      </c>
      <c r="C4" s="81" t="s">
        <v>35</v>
      </c>
      <c r="D4" s="107" t="s">
        <v>36</v>
      </c>
      <c r="E4" s="82" t="s">
        <v>37</v>
      </c>
      <c r="F4" s="82" t="s">
        <v>38</v>
      </c>
      <c r="G4" s="83" t="s">
        <v>39</v>
      </c>
      <c r="H4" s="82" t="s">
        <v>40</v>
      </c>
      <c r="I4" s="82" t="s">
        <v>41</v>
      </c>
      <c r="J4" s="490" t="s">
        <v>42</v>
      </c>
      <c r="K4" s="480"/>
      <c r="L4" s="481"/>
      <c r="M4" s="84" t="s">
        <v>4</v>
      </c>
      <c r="N4" s="85" t="s">
        <v>5</v>
      </c>
      <c r="O4" s="86" t="s">
        <v>6</v>
      </c>
      <c r="P4" s="86" t="s">
        <v>4</v>
      </c>
      <c r="Q4" s="108" t="s">
        <v>8</v>
      </c>
      <c r="R4" s="87" t="s">
        <v>9</v>
      </c>
      <c r="S4" s="88" t="s">
        <v>44</v>
      </c>
      <c r="T4" s="332"/>
    </row>
    <row r="5" spans="1:37" ht="23.25" customHeight="1">
      <c r="A5" s="10"/>
      <c r="B5" s="109">
        <v>1</v>
      </c>
      <c r="C5" s="110" t="s">
        <v>117</v>
      </c>
      <c r="D5" s="359" t="s">
        <v>119</v>
      </c>
      <c r="E5" s="417" t="s">
        <v>239</v>
      </c>
      <c r="F5" s="111" t="s">
        <v>120</v>
      </c>
      <c r="G5" s="377" t="s">
        <v>121</v>
      </c>
      <c r="H5" s="113" t="str">
        <f t="shared" ref="H5:H7" si="0">UPPER(G5)</f>
        <v>ASSEMBLEIA GERAL EXTRAORDINÁRIA Nº 029 E ASSEMBLEIA GERAL ORDINÁRIA Nº 030</v>
      </c>
      <c r="I5" s="114" t="s">
        <v>127</v>
      </c>
      <c r="J5" s="115">
        <v>45017</v>
      </c>
      <c r="K5" s="111">
        <v>25</v>
      </c>
      <c r="L5" s="116">
        <v>25</v>
      </c>
      <c r="M5" s="363">
        <v>113.35</v>
      </c>
      <c r="N5" s="363">
        <v>39.26</v>
      </c>
      <c r="O5" s="117"/>
      <c r="P5" s="118">
        <v>0</v>
      </c>
      <c r="Q5" s="378">
        <v>1327</v>
      </c>
      <c r="R5" s="379">
        <v>0</v>
      </c>
      <c r="S5" s="120">
        <f t="shared" ref="S5:S7" si="1">M5+N5+O5+P5+Q5+R5</f>
        <v>1479.61</v>
      </c>
      <c r="T5" s="331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3.25" customHeight="1">
      <c r="A6" s="10"/>
      <c r="B6" s="121">
        <v>2</v>
      </c>
      <c r="C6" s="99" t="s">
        <v>74</v>
      </c>
      <c r="D6" s="101" t="s">
        <v>122</v>
      </c>
      <c r="E6" s="434" t="s">
        <v>240</v>
      </c>
      <c r="F6" s="333" t="s">
        <v>123</v>
      </c>
      <c r="G6" s="337" t="s">
        <v>87</v>
      </c>
      <c r="H6" s="46" t="str">
        <f t="shared" si="0"/>
        <v>PARTICIPAÇÃO NO 4º SEMINÁRIO NACIONAL DAS ESTATAIS</v>
      </c>
      <c r="I6" s="103" t="s">
        <v>96</v>
      </c>
      <c r="J6" s="104">
        <v>45017</v>
      </c>
      <c r="K6" s="101">
        <v>23</v>
      </c>
      <c r="L6" s="105">
        <v>26</v>
      </c>
      <c r="M6" s="356">
        <v>66.900000000000006</v>
      </c>
      <c r="N6" s="356">
        <v>57.42</v>
      </c>
      <c r="O6" s="49"/>
      <c r="P6" s="50">
        <v>0</v>
      </c>
      <c r="Q6" s="357">
        <f>1331.73+894.55</f>
        <v>2226.2799999999997</v>
      </c>
      <c r="R6" s="336">
        <f>1082.7+142.2</f>
        <v>1224.9000000000001</v>
      </c>
      <c r="S6" s="122">
        <f t="shared" si="1"/>
        <v>3575.5</v>
      </c>
      <c r="T6" s="33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96" customFormat="1" ht="22.5" customHeight="1" thickBot="1">
      <c r="A7" s="10"/>
      <c r="B7" s="123">
        <v>3</v>
      </c>
      <c r="C7" s="198" t="s">
        <v>118</v>
      </c>
      <c r="D7" s="129" t="s">
        <v>124</v>
      </c>
      <c r="E7" s="445" t="s">
        <v>241</v>
      </c>
      <c r="F7" s="124" t="s">
        <v>125</v>
      </c>
      <c r="G7" s="380" t="s">
        <v>126</v>
      </c>
      <c r="H7" s="126" t="str">
        <f t="shared" si="0"/>
        <v>ENCONTRO DE SERVIÇOS DE ABORTO LEGAL - FAC. SAÚDE PÚBLICA DA USP /SP</v>
      </c>
      <c r="I7" s="127" t="s">
        <v>128</v>
      </c>
      <c r="J7" s="128">
        <v>45017</v>
      </c>
      <c r="K7" s="129">
        <v>29</v>
      </c>
      <c r="L7" s="130">
        <v>29</v>
      </c>
      <c r="M7" s="369">
        <v>142.46</v>
      </c>
      <c r="N7" s="369">
        <v>79.5</v>
      </c>
      <c r="O7" s="131"/>
      <c r="P7" s="156">
        <v>0</v>
      </c>
      <c r="Q7" s="371">
        <v>5224.5600000000004</v>
      </c>
      <c r="R7" s="372">
        <v>0</v>
      </c>
      <c r="S7" s="135">
        <f t="shared" si="1"/>
        <v>5446.52</v>
      </c>
      <c r="T7" s="331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thickBot="1">
      <c r="A8" s="10"/>
      <c r="B8" s="14"/>
      <c r="C8" s="15"/>
      <c r="D8" s="16"/>
      <c r="E8" s="16"/>
      <c r="F8" s="16"/>
      <c r="G8" s="16"/>
      <c r="H8" s="16"/>
      <c r="I8" s="16"/>
      <c r="J8" s="57"/>
      <c r="K8" s="58"/>
      <c r="L8" s="58"/>
      <c r="M8" s="17"/>
      <c r="N8" s="17"/>
      <c r="O8" s="17"/>
      <c r="P8" s="11"/>
      <c r="Q8" s="18"/>
      <c r="R8" s="19"/>
      <c r="S8" s="20"/>
      <c r="T8" s="2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6.5" thickBot="1">
      <c r="A9" s="21"/>
      <c r="B9" s="59" t="s">
        <v>13</v>
      </c>
      <c r="C9" s="21"/>
      <c r="D9" s="60" t="s">
        <v>45</v>
      </c>
      <c r="E9" s="61"/>
      <c r="F9" s="21"/>
      <c r="G9" s="21"/>
      <c r="H9" s="21"/>
      <c r="I9" s="62"/>
      <c r="J9" s="21"/>
      <c r="K9" s="14"/>
      <c r="L9" s="21"/>
      <c r="M9" s="74">
        <f t="shared" ref="M9:R9" si="2">SUM(M5:M7)</f>
        <v>322.71000000000004</v>
      </c>
      <c r="N9" s="74">
        <f t="shared" si="2"/>
        <v>176.18</v>
      </c>
      <c r="O9" s="74">
        <f t="shared" si="2"/>
        <v>0</v>
      </c>
      <c r="P9" s="77">
        <f t="shared" si="2"/>
        <v>0</v>
      </c>
      <c r="Q9" s="65">
        <f t="shared" si="2"/>
        <v>8777.84</v>
      </c>
      <c r="R9" s="66">
        <f t="shared" si="2"/>
        <v>1224.9000000000001</v>
      </c>
      <c r="S9" s="23">
        <f>SUM(S5:S7)+P10</f>
        <v>10501.630000000001</v>
      </c>
      <c r="T9" s="2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6.5" thickBot="1">
      <c r="A10" s="24"/>
      <c r="B10" s="24"/>
      <c r="C10" s="24"/>
      <c r="D10" s="482"/>
      <c r="E10" s="478"/>
      <c r="F10" s="478"/>
      <c r="G10" s="478"/>
      <c r="H10" s="478"/>
      <c r="I10" s="478"/>
      <c r="J10" s="478"/>
      <c r="K10" s="478"/>
      <c r="L10" s="24"/>
      <c r="M10" s="25"/>
      <c r="N10" s="25"/>
      <c r="O10" s="67" t="s">
        <v>13</v>
      </c>
      <c r="P10" s="11">
        <f>P9*1%</f>
        <v>0</v>
      </c>
      <c r="Q10" s="24"/>
      <c r="R10" s="24"/>
      <c r="S10" s="29"/>
      <c r="T10" s="2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6.5" thickBot="1">
      <c r="A11" s="24"/>
      <c r="B11" s="24"/>
      <c r="C11" s="61"/>
      <c r="D11" s="61"/>
      <c r="E11" s="61"/>
      <c r="F11" s="61"/>
      <c r="G11" s="24"/>
      <c r="H11" s="24"/>
      <c r="I11" s="27"/>
      <c r="J11" s="24"/>
      <c r="K11" s="24"/>
      <c r="L11" s="24"/>
      <c r="M11" s="25"/>
      <c r="N11" s="25"/>
      <c r="O11" s="25"/>
      <c r="P11" s="68">
        <f>P9+P10</f>
        <v>0</v>
      </c>
      <c r="Q11" s="28"/>
      <c r="R11" s="29"/>
      <c r="S11" s="69" t="s">
        <v>46</v>
      </c>
      <c r="T11" s="69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>
      <c r="A12" s="24"/>
      <c r="B12" s="24"/>
      <c r="C12" s="24"/>
      <c r="D12" s="483"/>
      <c r="E12" s="478"/>
      <c r="F12" s="478"/>
      <c r="G12" s="478"/>
      <c r="H12" s="478"/>
      <c r="I12" s="478"/>
      <c r="J12" s="478"/>
      <c r="K12" s="478"/>
      <c r="L12" s="24"/>
      <c r="M12" s="25"/>
      <c r="N12" s="25"/>
      <c r="O12" s="25"/>
      <c r="P12" s="11"/>
      <c r="Q12" s="4" t="s">
        <v>25</v>
      </c>
      <c r="R12" s="70">
        <f>M9+N9+O9+P11+Q9+R9</f>
        <v>10501.63</v>
      </c>
      <c r="S12" s="34">
        <f>S9-R12</f>
        <v>0</v>
      </c>
      <c r="T12" s="3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67" t="s">
        <v>13</v>
      </c>
      <c r="P13" s="11" t="s">
        <v>47</v>
      </c>
      <c r="Q13" s="4"/>
      <c r="R13" s="5"/>
      <c r="S13" s="5"/>
      <c r="T13" s="5"/>
    </row>
    <row r="14" spans="1:37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  <c r="T14" s="5"/>
    </row>
    <row r="15" spans="1:37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  <c r="T15" s="5"/>
    </row>
    <row r="16" spans="1:37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  <c r="T16" s="5"/>
    </row>
    <row r="17" spans="3:20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  <c r="T17" s="5"/>
    </row>
    <row r="18" spans="3:20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  <c r="T18" s="5"/>
    </row>
    <row r="19" spans="3:20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  <c r="T19" s="5"/>
    </row>
    <row r="20" spans="3:20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  <c r="T20" s="5"/>
    </row>
    <row r="21" spans="3:20" ht="15.75" customHeight="1">
      <c r="C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  <c r="T21" s="5"/>
    </row>
    <row r="22" spans="3:20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  <c r="T22" s="5"/>
    </row>
    <row r="23" spans="3:20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1"/>
      <c r="Q23" s="4"/>
      <c r="R23" s="5"/>
      <c r="S23" s="5"/>
      <c r="T23" s="5"/>
    </row>
    <row r="24" spans="3:20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20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20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20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20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20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20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20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20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20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20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20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20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20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20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20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20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20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20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20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20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  <c r="T92" s="5"/>
    </row>
    <row r="93" spans="3:20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  <c r="T93" s="5"/>
    </row>
    <row r="94" spans="3:20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  <c r="T94" s="5"/>
    </row>
    <row r="95" spans="3:20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  <c r="T95" s="5"/>
    </row>
    <row r="96" spans="3:20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  <c r="T96" s="5"/>
    </row>
    <row r="97" spans="3:20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  <c r="T97" s="5"/>
    </row>
    <row r="98" spans="3:20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  <c r="T98" s="5"/>
    </row>
    <row r="99" spans="3:20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  <c r="T99" s="5"/>
    </row>
    <row r="100" spans="3:20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  <c r="T100" s="5"/>
    </row>
    <row r="101" spans="3:20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  <c r="T101" s="5"/>
    </row>
    <row r="102" spans="3:20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  <c r="T102" s="5"/>
    </row>
    <row r="103" spans="3:20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  <c r="T103" s="5"/>
    </row>
    <row r="104" spans="3:20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  <c r="T104" s="5"/>
    </row>
    <row r="105" spans="3:20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  <c r="T105" s="5"/>
    </row>
    <row r="106" spans="3:20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  <c r="T106" s="5"/>
    </row>
    <row r="107" spans="3:20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  <c r="T107" s="5"/>
    </row>
    <row r="108" spans="3:20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  <c r="T108" s="5"/>
    </row>
    <row r="109" spans="3:20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  <c r="T109" s="5"/>
    </row>
    <row r="110" spans="3:20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  <c r="T110" s="5"/>
    </row>
    <row r="111" spans="3:20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  <c r="T111" s="5"/>
    </row>
    <row r="112" spans="3:20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  <c r="T112" s="5"/>
    </row>
    <row r="113" spans="3:20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  <c r="T113" s="5"/>
    </row>
    <row r="114" spans="3:20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  <c r="T114" s="5"/>
    </row>
    <row r="115" spans="3:20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  <c r="T115" s="5"/>
    </row>
    <row r="116" spans="3:20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  <c r="T116" s="5"/>
    </row>
    <row r="117" spans="3:20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  <c r="T117" s="5"/>
    </row>
    <row r="118" spans="3:20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  <c r="T118" s="5"/>
    </row>
    <row r="119" spans="3:20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  <c r="T119" s="5"/>
    </row>
    <row r="120" spans="3:20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  <c r="T120" s="5"/>
    </row>
    <row r="121" spans="3:20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  <c r="T121" s="5"/>
    </row>
    <row r="122" spans="3:20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  <c r="T122" s="5"/>
    </row>
    <row r="123" spans="3:20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  <c r="T123" s="5"/>
    </row>
    <row r="124" spans="3:20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  <c r="T124" s="5"/>
    </row>
    <row r="125" spans="3:20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  <c r="T125" s="5"/>
    </row>
    <row r="126" spans="3:20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  <c r="T126" s="5"/>
    </row>
    <row r="127" spans="3:20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  <c r="T127" s="5"/>
    </row>
    <row r="128" spans="3:20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  <c r="T128" s="5"/>
    </row>
    <row r="129" spans="3:20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  <c r="T129" s="5"/>
    </row>
    <row r="130" spans="3:20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  <c r="T130" s="5"/>
    </row>
    <row r="131" spans="3:20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  <c r="T131" s="5"/>
    </row>
    <row r="132" spans="3:20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  <c r="T132" s="5"/>
    </row>
    <row r="133" spans="3:20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  <c r="T133" s="5"/>
    </row>
    <row r="134" spans="3:20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  <c r="T134" s="5"/>
    </row>
    <row r="135" spans="3:20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  <c r="T135" s="5"/>
    </row>
    <row r="136" spans="3:20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  <c r="T136" s="5"/>
    </row>
    <row r="137" spans="3:20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  <c r="T137" s="5"/>
    </row>
    <row r="138" spans="3:20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  <c r="T138" s="5"/>
    </row>
    <row r="139" spans="3:20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  <c r="T139" s="5"/>
    </row>
    <row r="140" spans="3:20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  <c r="T140" s="5"/>
    </row>
    <row r="141" spans="3:20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  <c r="T141" s="5"/>
    </row>
    <row r="142" spans="3:20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  <c r="T142" s="5"/>
    </row>
    <row r="143" spans="3:20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  <c r="T143" s="5"/>
    </row>
    <row r="144" spans="3:20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  <c r="T144" s="5"/>
    </row>
    <row r="145" spans="3:20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  <c r="T145" s="5"/>
    </row>
    <row r="146" spans="3:20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  <c r="T146" s="5"/>
    </row>
    <row r="147" spans="3:20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  <c r="T147" s="5"/>
    </row>
    <row r="148" spans="3:20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  <c r="T148" s="5"/>
    </row>
    <row r="149" spans="3:20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  <c r="T149" s="5"/>
    </row>
    <row r="150" spans="3:20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  <c r="T150" s="5"/>
    </row>
    <row r="151" spans="3:20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  <c r="T151" s="5"/>
    </row>
    <row r="152" spans="3:20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  <c r="T152" s="5"/>
    </row>
    <row r="153" spans="3:20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  <c r="T153" s="5"/>
    </row>
    <row r="154" spans="3:20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  <c r="T154" s="5"/>
    </row>
    <row r="155" spans="3:20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  <c r="T155" s="5"/>
    </row>
    <row r="156" spans="3:20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  <c r="T156" s="5"/>
    </row>
    <row r="157" spans="3:20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  <c r="T157" s="5"/>
    </row>
    <row r="158" spans="3:20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  <c r="T158" s="5"/>
    </row>
    <row r="159" spans="3:20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  <c r="T159" s="5"/>
    </row>
    <row r="160" spans="3:20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  <c r="T160" s="5"/>
    </row>
    <row r="161" spans="3:20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  <c r="T161" s="5"/>
    </row>
    <row r="162" spans="3:20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  <c r="T162" s="5"/>
    </row>
    <row r="163" spans="3:20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  <c r="T163" s="5"/>
    </row>
    <row r="164" spans="3:20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  <c r="T164" s="5"/>
    </row>
    <row r="165" spans="3:20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  <c r="T165" s="5"/>
    </row>
    <row r="166" spans="3:20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  <c r="T166" s="5"/>
    </row>
    <row r="167" spans="3:20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  <c r="T167" s="5"/>
    </row>
    <row r="168" spans="3:20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  <c r="T168" s="5"/>
    </row>
    <row r="169" spans="3:20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  <c r="T169" s="5"/>
    </row>
    <row r="170" spans="3:20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  <c r="T170" s="5"/>
    </row>
    <row r="171" spans="3:20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  <c r="T171" s="5"/>
    </row>
    <row r="172" spans="3:20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  <c r="T172" s="5"/>
    </row>
    <row r="173" spans="3:20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  <c r="T173" s="5"/>
    </row>
    <row r="174" spans="3:20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  <c r="T174" s="5"/>
    </row>
    <row r="175" spans="3:20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  <c r="T175" s="5"/>
    </row>
    <row r="176" spans="3:20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  <c r="T176" s="5"/>
    </row>
    <row r="177" spans="3:20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  <c r="T177" s="5"/>
    </row>
    <row r="178" spans="3:20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  <c r="T178" s="5"/>
    </row>
    <row r="179" spans="3:20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  <c r="T179" s="5"/>
    </row>
    <row r="180" spans="3:20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  <c r="T180" s="5"/>
    </row>
    <row r="181" spans="3:20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  <c r="T181" s="5"/>
    </row>
    <row r="182" spans="3:20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  <c r="T182" s="5"/>
    </row>
    <row r="183" spans="3:20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  <c r="T183" s="5"/>
    </row>
    <row r="184" spans="3:20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  <c r="T184" s="5"/>
    </row>
    <row r="185" spans="3:20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  <c r="T185" s="5"/>
    </row>
    <row r="186" spans="3:20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  <c r="T186" s="5"/>
    </row>
    <row r="187" spans="3:20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  <c r="T187" s="5"/>
    </row>
    <row r="188" spans="3:20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  <c r="T188" s="5"/>
    </row>
    <row r="189" spans="3:20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  <c r="T189" s="5"/>
    </row>
    <row r="190" spans="3:20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  <c r="T190" s="5"/>
    </row>
    <row r="191" spans="3:20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  <c r="T191" s="5"/>
    </row>
    <row r="192" spans="3:20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  <c r="T192" s="5"/>
    </row>
    <row r="193" spans="3:20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  <c r="T193" s="5"/>
    </row>
    <row r="194" spans="3:20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  <c r="T194" s="5"/>
    </row>
    <row r="195" spans="3:20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  <c r="T195" s="5"/>
    </row>
    <row r="196" spans="3:20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  <c r="T196" s="5"/>
    </row>
    <row r="197" spans="3:20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  <c r="T197" s="5"/>
    </row>
    <row r="198" spans="3:20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  <c r="T198" s="5"/>
    </row>
    <row r="199" spans="3:20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  <c r="T199" s="5"/>
    </row>
    <row r="200" spans="3:20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  <c r="T200" s="5"/>
    </row>
    <row r="201" spans="3:20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  <c r="T201" s="5"/>
    </row>
    <row r="202" spans="3:20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  <c r="T202" s="5"/>
    </row>
    <row r="203" spans="3:20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  <c r="T203" s="5"/>
    </row>
    <row r="204" spans="3:20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  <c r="T204" s="5"/>
    </row>
    <row r="205" spans="3:20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  <c r="T205" s="5"/>
    </row>
    <row r="206" spans="3:20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  <c r="T206" s="5"/>
    </row>
    <row r="207" spans="3:20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  <c r="T207" s="5"/>
    </row>
    <row r="208" spans="3:20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  <c r="T208" s="5"/>
    </row>
    <row r="209" spans="3:20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  <c r="T209" s="5"/>
    </row>
    <row r="210" spans="3:20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  <c r="T210" s="5"/>
    </row>
    <row r="211" spans="3:20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  <c r="T211" s="5"/>
    </row>
    <row r="212" spans="3:20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  <c r="T212" s="5"/>
    </row>
    <row r="213" spans="3:20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  <c r="T213" s="5"/>
    </row>
    <row r="214" spans="3:20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  <c r="T214" s="5"/>
    </row>
    <row r="215" spans="3:20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  <c r="T215" s="5"/>
    </row>
    <row r="216" spans="3:20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  <c r="T216" s="5"/>
    </row>
    <row r="217" spans="3:20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  <c r="T217" s="5"/>
    </row>
    <row r="218" spans="3:20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  <c r="T218" s="5"/>
    </row>
    <row r="219" spans="3:20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  <c r="T219" s="5"/>
    </row>
    <row r="220" spans="3:20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  <c r="T220" s="5"/>
    </row>
    <row r="221" spans="3:20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  <c r="T221" s="5"/>
    </row>
    <row r="222" spans="3:20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  <c r="T222" s="5"/>
    </row>
    <row r="223" spans="3:20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  <c r="T223" s="5"/>
    </row>
    <row r="224" spans="3:20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  <c r="T224" s="5"/>
    </row>
    <row r="225" spans="3:20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  <c r="T225" s="5"/>
    </row>
    <row r="226" spans="3:20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  <c r="T226" s="5"/>
    </row>
    <row r="227" spans="3:20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  <c r="T227" s="5"/>
    </row>
    <row r="228" spans="3:20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  <c r="T228" s="5"/>
    </row>
    <row r="229" spans="3:20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  <c r="T229" s="5"/>
    </row>
    <row r="230" spans="3:20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  <c r="T230" s="5"/>
    </row>
    <row r="231" spans="3:20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  <c r="T231" s="5"/>
    </row>
    <row r="232" spans="3:20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  <c r="T232" s="5"/>
    </row>
    <row r="233" spans="3:20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  <c r="T233" s="5"/>
    </row>
    <row r="234" spans="3:20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  <c r="T234" s="5"/>
    </row>
    <row r="235" spans="3:20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  <c r="T235" s="5"/>
    </row>
    <row r="236" spans="3:20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  <c r="T236" s="5"/>
    </row>
    <row r="237" spans="3:20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  <c r="T237" s="5"/>
    </row>
    <row r="238" spans="3:20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  <c r="T238" s="5"/>
    </row>
    <row r="239" spans="3:20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  <c r="T239" s="5"/>
    </row>
    <row r="240" spans="3:20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  <c r="T240" s="5"/>
    </row>
    <row r="241" spans="3:20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  <c r="T241" s="5"/>
    </row>
    <row r="242" spans="3:20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  <c r="T242" s="5"/>
    </row>
    <row r="243" spans="3:20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  <c r="T243" s="5"/>
    </row>
    <row r="244" spans="3:20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  <c r="T244" s="5"/>
    </row>
    <row r="245" spans="3:20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  <c r="T245" s="5"/>
    </row>
    <row r="246" spans="3:20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  <c r="T246" s="5"/>
    </row>
    <row r="247" spans="3:20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  <c r="T247" s="5"/>
    </row>
    <row r="248" spans="3:20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  <c r="T248" s="5"/>
    </row>
    <row r="249" spans="3:20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  <c r="T249" s="5"/>
    </row>
    <row r="250" spans="3:20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  <c r="T250" s="5"/>
    </row>
    <row r="251" spans="3:20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  <c r="T251" s="5"/>
    </row>
    <row r="252" spans="3:20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  <c r="T252" s="5"/>
    </row>
    <row r="253" spans="3:20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  <c r="T253" s="5"/>
    </row>
    <row r="254" spans="3:20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  <c r="T254" s="5"/>
    </row>
    <row r="255" spans="3:20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  <c r="T255" s="5"/>
    </row>
    <row r="256" spans="3:20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  <c r="T256" s="5"/>
    </row>
    <row r="257" spans="3:20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  <c r="T257" s="5"/>
    </row>
    <row r="258" spans="3:20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  <c r="T258" s="5"/>
    </row>
    <row r="259" spans="3:20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  <c r="T259" s="5"/>
    </row>
    <row r="260" spans="3:20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  <c r="T260" s="5"/>
    </row>
    <row r="261" spans="3:20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  <c r="T261" s="5"/>
    </row>
    <row r="262" spans="3:20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  <c r="T262" s="5"/>
    </row>
    <row r="263" spans="3:20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  <c r="T263" s="5"/>
    </row>
    <row r="264" spans="3:20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  <c r="T264" s="5"/>
    </row>
    <row r="265" spans="3:20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  <c r="T265" s="5"/>
    </row>
    <row r="266" spans="3:20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  <c r="T266" s="5"/>
    </row>
    <row r="267" spans="3:20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  <c r="T267" s="5"/>
    </row>
    <row r="268" spans="3:20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  <c r="T268" s="5"/>
    </row>
    <row r="269" spans="3:20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  <c r="T269" s="5"/>
    </row>
    <row r="270" spans="3:20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  <c r="T270" s="5"/>
    </row>
    <row r="271" spans="3:20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  <c r="T271" s="5"/>
    </row>
    <row r="272" spans="3:20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  <c r="T272" s="5"/>
    </row>
    <row r="273" spans="3:20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  <c r="T273" s="5"/>
    </row>
    <row r="274" spans="3:20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  <c r="T274" s="5"/>
    </row>
    <row r="275" spans="3:20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  <c r="T275" s="5"/>
    </row>
    <row r="276" spans="3:20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  <c r="T276" s="5"/>
    </row>
    <row r="277" spans="3:20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  <c r="T277" s="5"/>
    </row>
    <row r="278" spans="3:20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  <c r="T278" s="5"/>
    </row>
    <row r="279" spans="3:20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  <c r="T279" s="5"/>
    </row>
    <row r="280" spans="3:20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  <c r="T280" s="5"/>
    </row>
    <row r="281" spans="3:20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  <c r="T281" s="5"/>
    </row>
    <row r="282" spans="3:20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  <c r="T282" s="5"/>
    </row>
    <row r="283" spans="3:20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  <c r="T283" s="5"/>
    </row>
    <row r="284" spans="3:20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  <c r="T284" s="5"/>
    </row>
    <row r="285" spans="3:20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  <c r="T285" s="5"/>
    </row>
    <row r="286" spans="3:20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  <c r="T286" s="5"/>
    </row>
    <row r="287" spans="3:20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  <c r="T287" s="5"/>
    </row>
    <row r="288" spans="3:20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  <c r="T288" s="5"/>
    </row>
    <row r="289" spans="3:20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  <c r="T289" s="5"/>
    </row>
    <row r="290" spans="3:20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  <c r="T290" s="5"/>
    </row>
    <row r="291" spans="3:20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  <c r="T291" s="5"/>
    </row>
    <row r="292" spans="3:20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  <c r="T292" s="5"/>
    </row>
    <row r="293" spans="3:20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  <c r="T293" s="5"/>
    </row>
    <row r="294" spans="3:20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  <c r="T294" s="5"/>
    </row>
    <row r="295" spans="3:20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  <c r="T295" s="5"/>
    </row>
    <row r="296" spans="3:20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  <c r="T296" s="5"/>
    </row>
    <row r="297" spans="3:20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  <c r="T297" s="5"/>
    </row>
    <row r="298" spans="3:20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  <c r="T298" s="5"/>
    </row>
    <row r="299" spans="3:20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  <c r="T299" s="5"/>
    </row>
    <row r="300" spans="3:20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  <c r="T300" s="5"/>
    </row>
    <row r="301" spans="3:20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  <c r="T301" s="5"/>
    </row>
    <row r="302" spans="3:20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  <c r="T302" s="5"/>
    </row>
    <row r="303" spans="3:20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  <c r="T303" s="5"/>
    </row>
    <row r="304" spans="3:20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  <c r="T304" s="5"/>
    </row>
    <row r="305" spans="3:20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  <c r="T305" s="5"/>
    </row>
    <row r="306" spans="3:20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  <c r="T306" s="5"/>
    </row>
    <row r="307" spans="3:20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  <c r="T307" s="5"/>
    </row>
    <row r="308" spans="3:20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  <c r="T308" s="5"/>
    </row>
    <row r="309" spans="3:20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  <c r="T309" s="5"/>
    </row>
    <row r="310" spans="3:20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  <c r="T310" s="5"/>
    </row>
    <row r="311" spans="3:20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  <c r="T311" s="5"/>
    </row>
    <row r="312" spans="3:20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  <c r="T312" s="5"/>
    </row>
    <row r="313" spans="3:20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  <c r="T313" s="5"/>
    </row>
    <row r="314" spans="3:20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  <c r="T314" s="5"/>
    </row>
    <row r="315" spans="3:20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  <c r="T315" s="5"/>
    </row>
    <row r="316" spans="3:20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  <c r="T316" s="5"/>
    </row>
    <row r="317" spans="3:20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  <c r="T317" s="5"/>
    </row>
    <row r="318" spans="3:20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  <c r="T318" s="5"/>
    </row>
    <row r="319" spans="3:20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  <c r="T319" s="5"/>
    </row>
    <row r="320" spans="3:20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  <c r="T320" s="5"/>
    </row>
    <row r="321" spans="3:20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  <c r="T321" s="5"/>
    </row>
    <row r="322" spans="3:20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  <c r="T322" s="5"/>
    </row>
    <row r="323" spans="3:20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  <c r="T323" s="5"/>
    </row>
    <row r="324" spans="3:20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  <c r="T324" s="5"/>
    </row>
    <row r="325" spans="3:20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  <c r="T325" s="5"/>
    </row>
    <row r="326" spans="3:20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  <c r="T326" s="5"/>
    </row>
    <row r="327" spans="3:20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  <c r="T327" s="5"/>
    </row>
    <row r="328" spans="3:20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  <c r="T328" s="5"/>
    </row>
    <row r="329" spans="3:20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  <c r="T329" s="5"/>
    </row>
    <row r="330" spans="3:20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  <c r="T330" s="5"/>
    </row>
    <row r="331" spans="3:20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  <c r="T331" s="5"/>
    </row>
    <row r="332" spans="3:20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  <c r="T332" s="5"/>
    </row>
    <row r="333" spans="3:20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  <c r="T333" s="5"/>
    </row>
    <row r="334" spans="3:20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  <c r="T334" s="5"/>
    </row>
    <row r="335" spans="3:20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  <c r="T335" s="5"/>
    </row>
    <row r="336" spans="3:20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  <c r="T336" s="5"/>
    </row>
    <row r="337" spans="3:20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  <c r="T337" s="5"/>
    </row>
    <row r="338" spans="3:20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  <c r="T338" s="5"/>
    </row>
    <row r="339" spans="3:20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  <c r="T339" s="5"/>
    </row>
    <row r="340" spans="3:20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  <c r="T340" s="5"/>
    </row>
    <row r="341" spans="3:20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  <c r="T341" s="5"/>
    </row>
    <row r="342" spans="3:20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  <c r="T342" s="5"/>
    </row>
    <row r="343" spans="3:20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  <c r="T343" s="5"/>
    </row>
    <row r="344" spans="3:20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  <c r="T344" s="5"/>
    </row>
    <row r="345" spans="3:20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  <c r="T345" s="5"/>
    </row>
    <row r="346" spans="3:20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  <c r="T346" s="5"/>
    </row>
    <row r="347" spans="3:20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  <c r="T347" s="5"/>
    </row>
    <row r="348" spans="3:20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  <c r="T348" s="5"/>
    </row>
    <row r="349" spans="3:20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  <c r="T349" s="5"/>
    </row>
    <row r="350" spans="3:20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  <c r="T350" s="5"/>
    </row>
    <row r="351" spans="3:20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  <c r="T351" s="5"/>
    </row>
    <row r="352" spans="3:20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  <c r="T352" s="5"/>
    </row>
    <row r="353" spans="3:20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  <c r="T353" s="5"/>
    </row>
    <row r="354" spans="3:20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  <c r="T354" s="5"/>
    </row>
    <row r="355" spans="3:20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  <c r="T355" s="5"/>
    </row>
    <row r="356" spans="3:20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  <c r="T356" s="5"/>
    </row>
    <row r="357" spans="3:20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  <c r="T357" s="5"/>
    </row>
    <row r="358" spans="3:20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  <c r="T358" s="5"/>
    </row>
    <row r="359" spans="3:20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  <c r="T359" s="5"/>
    </row>
    <row r="360" spans="3:20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  <c r="T360" s="5"/>
    </row>
    <row r="361" spans="3:20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  <c r="T361" s="5"/>
    </row>
    <row r="362" spans="3:20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  <c r="T362" s="5"/>
    </row>
    <row r="363" spans="3:20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  <c r="T363" s="5"/>
    </row>
    <row r="364" spans="3:20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  <c r="T364" s="5"/>
    </row>
    <row r="365" spans="3:20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  <c r="T365" s="5"/>
    </row>
    <row r="366" spans="3:20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  <c r="T366" s="5"/>
    </row>
    <row r="367" spans="3:20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  <c r="T367" s="5"/>
    </row>
    <row r="368" spans="3:20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  <c r="T368" s="5"/>
    </row>
    <row r="369" spans="3:20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  <c r="T369" s="5"/>
    </row>
    <row r="370" spans="3:20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  <c r="T370" s="5"/>
    </row>
    <row r="371" spans="3:20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  <c r="T371" s="5"/>
    </row>
    <row r="372" spans="3:20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  <c r="T372" s="5"/>
    </row>
    <row r="373" spans="3:20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  <c r="T373" s="5"/>
    </row>
    <row r="374" spans="3:20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  <c r="T374" s="5"/>
    </row>
    <row r="375" spans="3:20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  <c r="T375" s="5"/>
    </row>
    <row r="376" spans="3:20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  <c r="T376" s="5"/>
    </row>
    <row r="377" spans="3:20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  <c r="T377" s="5"/>
    </row>
    <row r="378" spans="3:20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  <c r="T378" s="5"/>
    </row>
    <row r="379" spans="3:20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  <c r="T379" s="5"/>
    </row>
    <row r="380" spans="3:20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  <c r="T380" s="5"/>
    </row>
    <row r="381" spans="3:20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  <c r="T381" s="5"/>
    </row>
    <row r="382" spans="3:20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  <c r="T382" s="5"/>
    </row>
    <row r="383" spans="3:20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  <c r="T383" s="5"/>
    </row>
    <row r="384" spans="3:20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  <c r="T384" s="5"/>
    </row>
    <row r="385" spans="3:20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  <c r="T385" s="5"/>
    </row>
    <row r="386" spans="3:20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  <c r="T386" s="5"/>
    </row>
    <row r="387" spans="3:20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  <c r="T387" s="5"/>
    </row>
    <row r="388" spans="3:20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  <c r="T388" s="5"/>
    </row>
    <row r="389" spans="3:20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  <c r="T389" s="5"/>
    </row>
    <row r="390" spans="3:20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  <c r="T390" s="5"/>
    </row>
    <row r="391" spans="3:20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  <c r="T391" s="5"/>
    </row>
    <row r="392" spans="3:20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  <c r="T392" s="5"/>
    </row>
    <row r="393" spans="3:20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  <c r="T393" s="5"/>
    </row>
    <row r="394" spans="3:20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  <c r="T394" s="5"/>
    </row>
    <row r="395" spans="3:20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  <c r="T395" s="5"/>
    </row>
    <row r="396" spans="3:20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  <c r="T396" s="5"/>
    </row>
    <row r="397" spans="3:20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  <c r="T397" s="5"/>
    </row>
    <row r="398" spans="3:20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  <c r="T398" s="5"/>
    </row>
    <row r="399" spans="3:20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  <c r="T399" s="5"/>
    </row>
    <row r="400" spans="3:20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  <c r="T400" s="5"/>
    </row>
    <row r="401" spans="3:20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  <c r="T401" s="5"/>
    </row>
    <row r="402" spans="3:20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  <c r="T402" s="5"/>
    </row>
    <row r="403" spans="3:20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  <c r="T403" s="5"/>
    </row>
    <row r="404" spans="3:20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  <c r="T404" s="5"/>
    </row>
    <row r="405" spans="3:20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  <c r="T405" s="5"/>
    </row>
    <row r="406" spans="3:20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  <c r="T406" s="5"/>
    </row>
    <row r="407" spans="3:20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  <c r="T407" s="5"/>
    </row>
    <row r="408" spans="3:20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  <c r="T408" s="5"/>
    </row>
    <row r="409" spans="3:20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  <c r="T409" s="5"/>
    </row>
    <row r="410" spans="3:20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  <c r="T410" s="5"/>
    </row>
    <row r="411" spans="3:20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  <c r="T411" s="5"/>
    </row>
    <row r="412" spans="3:20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  <c r="T412" s="5"/>
    </row>
    <row r="413" spans="3:20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  <c r="T413" s="5"/>
    </row>
    <row r="414" spans="3:20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  <c r="T414" s="5"/>
    </row>
    <row r="415" spans="3:20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  <c r="T415" s="5"/>
    </row>
    <row r="416" spans="3:20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  <c r="T416" s="5"/>
    </row>
    <row r="417" spans="3:20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  <c r="T417" s="5"/>
    </row>
    <row r="418" spans="3:20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  <c r="T418" s="5"/>
    </row>
    <row r="419" spans="3:20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  <c r="T419" s="5"/>
    </row>
    <row r="420" spans="3:20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  <c r="T420" s="5"/>
    </row>
    <row r="421" spans="3:20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  <c r="T421" s="5"/>
    </row>
    <row r="422" spans="3:20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  <c r="T422" s="5"/>
    </row>
    <row r="423" spans="3:20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  <c r="T423" s="5"/>
    </row>
    <row r="424" spans="3:20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  <c r="T424" s="5"/>
    </row>
    <row r="425" spans="3:20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  <c r="T425" s="5"/>
    </row>
    <row r="426" spans="3:20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  <c r="T426" s="5"/>
    </row>
    <row r="427" spans="3:20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  <c r="T427" s="5"/>
    </row>
    <row r="428" spans="3:20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  <c r="T428" s="5"/>
    </row>
    <row r="429" spans="3:20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  <c r="T429" s="5"/>
    </row>
    <row r="430" spans="3:20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  <c r="T430" s="5"/>
    </row>
    <row r="431" spans="3:20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  <c r="T431" s="5"/>
    </row>
    <row r="432" spans="3:20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  <c r="T432" s="5"/>
    </row>
    <row r="433" spans="3:20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  <c r="T433" s="5"/>
    </row>
    <row r="434" spans="3:20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  <c r="T434" s="5"/>
    </row>
    <row r="435" spans="3:20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  <c r="T435" s="5"/>
    </row>
    <row r="436" spans="3:20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  <c r="T436" s="5"/>
    </row>
    <row r="437" spans="3:20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  <c r="T437" s="5"/>
    </row>
    <row r="438" spans="3:20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  <c r="T438" s="5"/>
    </row>
    <row r="439" spans="3:20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  <c r="T439" s="5"/>
    </row>
    <row r="440" spans="3:20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  <c r="T440" s="5"/>
    </row>
    <row r="441" spans="3:20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  <c r="T441" s="5"/>
    </row>
    <row r="442" spans="3:20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  <c r="T442" s="5"/>
    </row>
    <row r="443" spans="3:20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  <c r="T443" s="5"/>
    </row>
    <row r="444" spans="3:20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  <c r="T444" s="5"/>
    </row>
    <row r="445" spans="3:20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  <c r="T445" s="5"/>
    </row>
    <row r="446" spans="3:20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  <c r="T446" s="5"/>
    </row>
    <row r="447" spans="3:20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  <c r="T447" s="5"/>
    </row>
    <row r="448" spans="3:20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  <c r="T448" s="5"/>
    </row>
    <row r="449" spans="3:20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  <c r="T449" s="5"/>
    </row>
    <row r="450" spans="3:20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  <c r="T450" s="5"/>
    </row>
    <row r="451" spans="3:20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  <c r="T451" s="5"/>
    </row>
    <row r="452" spans="3:20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  <c r="T452" s="5"/>
    </row>
    <row r="453" spans="3:20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  <c r="T453" s="5"/>
    </row>
    <row r="454" spans="3:20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  <c r="T454" s="5"/>
    </row>
    <row r="455" spans="3:20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  <c r="T455" s="5"/>
    </row>
    <row r="456" spans="3:20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  <c r="T456" s="5"/>
    </row>
    <row r="457" spans="3:20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  <c r="T457" s="5"/>
    </row>
    <row r="458" spans="3:20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  <c r="T458" s="5"/>
    </row>
    <row r="459" spans="3:20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  <c r="T459" s="5"/>
    </row>
    <row r="460" spans="3:20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  <c r="T460" s="5"/>
    </row>
    <row r="461" spans="3:20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  <c r="T461" s="5"/>
    </row>
    <row r="462" spans="3:20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  <c r="T462" s="5"/>
    </row>
    <row r="463" spans="3:20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  <c r="T463" s="5"/>
    </row>
    <row r="464" spans="3:20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  <c r="T464" s="5"/>
    </row>
    <row r="465" spans="3:20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  <c r="T465" s="5"/>
    </row>
    <row r="466" spans="3:20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  <c r="T466" s="5"/>
    </row>
    <row r="467" spans="3:20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  <c r="T467" s="5"/>
    </row>
    <row r="468" spans="3:20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  <c r="T468" s="5"/>
    </row>
    <row r="469" spans="3:20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  <c r="T469" s="5"/>
    </row>
    <row r="470" spans="3:20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  <c r="T470" s="5"/>
    </row>
    <row r="471" spans="3:20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  <c r="T471" s="5"/>
    </row>
    <row r="472" spans="3:20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  <c r="T472" s="5"/>
    </row>
    <row r="473" spans="3:20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  <c r="T473" s="5"/>
    </row>
    <row r="474" spans="3:20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  <c r="T474" s="5"/>
    </row>
    <row r="475" spans="3:20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  <c r="T475" s="5"/>
    </row>
    <row r="476" spans="3:20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  <c r="T476" s="5"/>
    </row>
    <row r="477" spans="3:20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  <c r="T477" s="5"/>
    </row>
    <row r="478" spans="3:20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  <c r="T478" s="5"/>
    </row>
    <row r="479" spans="3:20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  <c r="T479" s="5"/>
    </row>
    <row r="480" spans="3:20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  <c r="T480" s="5"/>
    </row>
    <row r="481" spans="3:20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  <c r="T481" s="5"/>
    </row>
    <row r="482" spans="3:20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  <c r="T482" s="5"/>
    </row>
    <row r="483" spans="3:20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  <c r="T483" s="5"/>
    </row>
    <row r="484" spans="3:20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  <c r="T484" s="5"/>
    </row>
    <row r="485" spans="3:20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  <c r="T485" s="5"/>
    </row>
    <row r="486" spans="3:20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  <c r="T486" s="5"/>
    </row>
    <row r="487" spans="3:20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  <c r="T487" s="5"/>
    </row>
    <row r="488" spans="3:20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  <c r="T488" s="5"/>
    </row>
    <row r="489" spans="3:20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  <c r="T489" s="5"/>
    </row>
    <row r="490" spans="3:20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  <c r="T490" s="5"/>
    </row>
    <row r="491" spans="3:20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  <c r="T491" s="5"/>
    </row>
    <row r="492" spans="3:20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  <c r="T492" s="5"/>
    </row>
    <row r="493" spans="3:20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  <c r="T493" s="5"/>
    </row>
    <row r="494" spans="3:20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  <c r="T494" s="5"/>
    </row>
    <row r="495" spans="3:20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  <c r="T495" s="5"/>
    </row>
    <row r="496" spans="3:20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  <c r="T496" s="5"/>
    </row>
    <row r="497" spans="3:20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  <c r="T497" s="5"/>
    </row>
    <row r="498" spans="3:20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  <c r="T498" s="5"/>
    </row>
    <row r="499" spans="3:20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  <c r="T499" s="5"/>
    </row>
    <row r="500" spans="3:20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  <c r="T500" s="5"/>
    </row>
    <row r="501" spans="3:20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  <c r="T501" s="5"/>
    </row>
    <row r="502" spans="3:20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  <c r="T502" s="5"/>
    </row>
    <row r="503" spans="3:20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  <c r="T503" s="5"/>
    </row>
    <row r="504" spans="3:20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  <c r="T504" s="5"/>
    </row>
    <row r="505" spans="3:20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  <c r="T505" s="5"/>
    </row>
    <row r="506" spans="3:20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  <c r="T506" s="5"/>
    </row>
    <row r="507" spans="3:20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  <c r="T507" s="5"/>
    </row>
    <row r="508" spans="3:20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  <c r="T508" s="5"/>
    </row>
    <row r="509" spans="3:20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  <c r="T509" s="5"/>
    </row>
    <row r="510" spans="3:20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  <c r="T510" s="5"/>
    </row>
    <row r="511" spans="3:20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  <c r="T511" s="5"/>
    </row>
    <row r="512" spans="3:20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  <c r="T512" s="5"/>
    </row>
    <row r="513" spans="3:20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  <c r="T513" s="5"/>
    </row>
    <row r="514" spans="3:20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  <c r="T514" s="5"/>
    </row>
    <row r="515" spans="3:20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  <c r="T515" s="5"/>
    </row>
    <row r="516" spans="3:20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  <c r="T516" s="5"/>
    </row>
    <row r="517" spans="3:20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  <c r="T517" s="5"/>
    </row>
    <row r="518" spans="3:20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  <c r="T518" s="5"/>
    </row>
    <row r="519" spans="3:20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  <c r="T519" s="5"/>
    </row>
    <row r="520" spans="3:20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  <c r="T520" s="5"/>
    </row>
    <row r="521" spans="3:20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  <c r="T521" s="5"/>
    </row>
    <row r="522" spans="3:20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  <c r="T522" s="5"/>
    </row>
    <row r="523" spans="3:20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  <c r="T523" s="5"/>
    </row>
    <row r="524" spans="3:20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  <c r="T524" s="5"/>
    </row>
    <row r="525" spans="3:20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  <c r="T525" s="5"/>
    </row>
    <row r="526" spans="3:20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  <c r="T526" s="5"/>
    </row>
    <row r="527" spans="3:20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  <c r="T527" s="5"/>
    </row>
    <row r="528" spans="3:20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  <c r="T528" s="5"/>
    </row>
    <row r="529" spans="3:20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  <c r="T529" s="5"/>
    </row>
    <row r="530" spans="3:20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  <c r="T530" s="5"/>
    </row>
    <row r="531" spans="3:20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  <c r="T531" s="5"/>
    </row>
    <row r="532" spans="3:20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  <c r="T532" s="5"/>
    </row>
    <row r="533" spans="3:20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  <c r="T533" s="5"/>
    </row>
    <row r="534" spans="3:20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  <c r="T534" s="5"/>
    </row>
    <row r="535" spans="3:20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  <c r="T535" s="5"/>
    </row>
    <row r="536" spans="3:20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  <c r="T536" s="5"/>
    </row>
    <row r="537" spans="3:20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  <c r="T537" s="5"/>
    </row>
    <row r="538" spans="3:20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  <c r="T538" s="5"/>
    </row>
    <row r="539" spans="3:20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  <c r="T539" s="5"/>
    </row>
    <row r="540" spans="3:20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  <c r="T540" s="5"/>
    </row>
    <row r="541" spans="3:20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  <c r="T541" s="5"/>
    </row>
    <row r="542" spans="3:20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  <c r="T542" s="5"/>
    </row>
    <row r="543" spans="3:20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  <c r="T543" s="5"/>
    </row>
    <row r="544" spans="3:20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  <c r="T544" s="5"/>
    </row>
    <row r="545" spans="3:20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  <c r="T545" s="5"/>
    </row>
    <row r="546" spans="3:20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  <c r="T546" s="5"/>
    </row>
    <row r="547" spans="3:20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  <c r="T547" s="5"/>
    </row>
    <row r="548" spans="3:20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  <c r="T548" s="5"/>
    </row>
    <row r="549" spans="3:20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  <c r="T549" s="5"/>
    </row>
    <row r="550" spans="3:20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  <c r="T550" s="5"/>
    </row>
    <row r="551" spans="3:20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  <c r="T551" s="5"/>
    </row>
    <row r="552" spans="3:20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  <c r="T552" s="5"/>
    </row>
    <row r="553" spans="3:20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  <c r="T553" s="5"/>
    </row>
    <row r="554" spans="3:20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  <c r="T554" s="5"/>
    </row>
    <row r="555" spans="3:20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  <c r="T555" s="5"/>
    </row>
    <row r="556" spans="3:20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  <c r="T556" s="5"/>
    </row>
    <row r="557" spans="3:20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  <c r="T557" s="5"/>
    </row>
    <row r="558" spans="3:20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  <c r="T558" s="5"/>
    </row>
    <row r="559" spans="3:20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  <c r="T559" s="5"/>
    </row>
    <row r="560" spans="3:20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  <c r="T560" s="5"/>
    </row>
    <row r="561" spans="3:20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  <c r="T561" s="5"/>
    </row>
    <row r="562" spans="3:20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  <c r="T562" s="5"/>
    </row>
    <row r="563" spans="3:20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  <c r="T563" s="5"/>
    </row>
    <row r="564" spans="3:20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  <c r="T564" s="5"/>
    </row>
    <row r="565" spans="3:20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  <c r="T565" s="5"/>
    </row>
    <row r="566" spans="3:20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  <c r="T566" s="5"/>
    </row>
    <row r="567" spans="3:20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  <c r="T567" s="5"/>
    </row>
    <row r="568" spans="3:20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  <c r="T568" s="5"/>
    </row>
    <row r="569" spans="3:20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  <c r="T569" s="5"/>
    </row>
    <row r="570" spans="3:20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  <c r="T570" s="5"/>
    </row>
    <row r="571" spans="3:20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  <c r="T571" s="5"/>
    </row>
    <row r="572" spans="3:20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  <c r="T572" s="5"/>
    </row>
    <row r="573" spans="3:20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  <c r="T573" s="5"/>
    </row>
    <row r="574" spans="3:20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  <c r="T574" s="5"/>
    </row>
    <row r="575" spans="3:20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  <c r="T575" s="5"/>
    </row>
    <row r="576" spans="3:20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  <c r="T576" s="5"/>
    </row>
    <row r="577" spans="3:20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  <c r="T577" s="5"/>
    </row>
    <row r="578" spans="3:20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  <c r="T578" s="5"/>
    </row>
    <row r="579" spans="3:20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  <c r="T579" s="5"/>
    </row>
    <row r="580" spans="3:20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  <c r="T580" s="5"/>
    </row>
    <row r="581" spans="3:20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  <c r="T581" s="5"/>
    </row>
    <row r="582" spans="3:20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  <c r="T582" s="5"/>
    </row>
    <row r="583" spans="3:20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  <c r="T583" s="5"/>
    </row>
    <row r="584" spans="3:20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  <c r="T584" s="5"/>
    </row>
    <row r="585" spans="3:20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  <c r="T585" s="5"/>
    </row>
    <row r="586" spans="3:20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  <c r="T586" s="5"/>
    </row>
    <row r="587" spans="3:20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  <c r="T587" s="5"/>
    </row>
    <row r="588" spans="3:20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  <c r="T588" s="5"/>
    </row>
    <row r="589" spans="3:20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  <c r="T589" s="5"/>
    </row>
    <row r="590" spans="3:20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  <c r="T590" s="5"/>
    </row>
    <row r="591" spans="3:20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  <c r="T591" s="5"/>
    </row>
    <row r="592" spans="3:20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  <c r="T592" s="5"/>
    </row>
    <row r="593" spans="3:20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  <c r="T593" s="5"/>
    </row>
    <row r="594" spans="3:20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  <c r="T594" s="5"/>
    </row>
    <row r="595" spans="3:20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  <c r="T595" s="5"/>
    </row>
    <row r="596" spans="3:20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  <c r="T596" s="5"/>
    </row>
    <row r="597" spans="3:20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  <c r="T597" s="5"/>
    </row>
    <row r="598" spans="3:20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  <c r="T598" s="5"/>
    </row>
    <row r="599" spans="3:20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  <c r="T599" s="5"/>
    </row>
    <row r="600" spans="3:20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  <c r="T600" s="5"/>
    </row>
    <row r="601" spans="3:20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  <c r="T601" s="5"/>
    </row>
    <row r="602" spans="3:20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  <c r="T602" s="5"/>
    </row>
    <row r="603" spans="3:20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  <c r="T603" s="5"/>
    </row>
    <row r="604" spans="3:20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  <c r="T604" s="5"/>
    </row>
    <row r="605" spans="3:20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  <c r="T605" s="5"/>
    </row>
    <row r="606" spans="3:20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  <c r="T606" s="5"/>
    </row>
    <row r="607" spans="3:20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  <c r="T607" s="5"/>
    </row>
    <row r="608" spans="3:20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  <c r="T608" s="5"/>
    </row>
    <row r="609" spans="3:20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  <c r="T609" s="5"/>
    </row>
    <row r="610" spans="3:20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  <c r="T610" s="5"/>
    </row>
    <row r="611" spans="3:20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  <c r="T611" s="5"/>
    </row>
    <row r="612" spans="3:20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  <c r="T612" s="5"/>
    </row>
    <row r="613" spans="3:20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  <c r="T613" s="5"/>
    </row>
    <row r="614" spans="3:20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  <c r="T614" s="5"/>
    </row>
    <row r="615" spans="3:20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  <c r="T615" s="5"/>
    </row>
    <row r="616" spans="3:20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  <c r="T616" s="5"/>
    </row>
    <row r="617" spans="3:20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  <c r="T617" s="5"/>
    </row>
    <row r="618" spans="3:20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  <c r="T618" s="5"/>
    </row>
    <row r="619" spans="3:20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  <c r="T619" s="5"/>
    </row>
    <row r="620" spans="3:20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  <c r="T620" s="5"/>
    </row>
    <row r="621" spans="3:20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  <c r="T621" s="5"/>
    </row>
    <row r="622" spans="3:20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  <c r="T622" s="5"/>
    </row>
    <row r="623" spans="3:20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  <c r="T623" s="5"/>
    </row>
    <row r="624" spans="3:20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  <c r="T624" s="5"/>
    </row>
    <row r="625" spans="3:20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  <c r="T625" s="5"/>
    </row>
    <row r="626" spans="3:20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  <c r="T626" s="5"/>
    </row>
    <row r="627" spans="3:20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  <c r="T627" s="5"/>
    </row>
    <row r="628" spans="3:20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  <c r="T628" s="5"/>
    </row>
    <row r="629" spans="3:20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  <c r="T629" s="5"/>
    </row>
    <row r="630" spans="3:20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  <c r="T630" s="5"/>
    </row>
    <row r="631" spans="3:20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  <c r="T631" s="5"/>
    </row>
    <row r="632" spans="3:20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  <c r="T632" s="5"/>
    </row>
    <row r="633" spans="3:20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  <c r="T633" s="5"/>
    </row>
    <row r="634" spans="3:20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  <c r="T634" s="5"/>
    </row>
    <row r="635" spans="3:20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  <c r="T635" s="5"/>
    </row>
    <row r="636" spans="3:20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  <c r="T636" s="5"/>
    </row>
    <row r="637" spans="3:20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  <c r="T637" s="5"/>
    </row>
    <row r="638" spans="3:20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  <c r="T638" s="5"/>
    </row>
    <row r="639" spans="3:20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  <c r="T639" s="5"/>
    </row>
    <row r="640" spans="3:20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  <c r="T640" s="5"/>
    </row>
    <row r="641" spans="3:20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  <c r="T641" s="5"/>
    </row>
    <row r="642" spans="3:20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  <c r="T642" s="5"/>
    </row>
    <row r="643" spans="3:20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  <c r="T643" s="5"/>
    </row>
    <row r="644" spans="3:20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  <c r="T644" s="5"/>
    </row>
    <row r="645" spans="3:20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  <c r="T645" s="5"/>
    </row>
    <row r="646" spans="3:20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  <c r="T646" s="5"/>
    </row>
    <row r="647" spans="3:20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  <c r="T647" s="5"/>
    </row>
    <row r="648" spans="3:20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  <c r="T648" s="5"/>
    </row>
    <row r="649" spans="3:20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  <c r="T649" s="5"/>
    </row>
    <row r="650" spans="3:20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  <c r="T650" s="5"/>
    </row>
    <row r="651" spans="3:20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  <c r="T651" s="5"/>
    </row>
    <row r="652" spans="3:20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  <c r="T652" s="5"/>
    </row>
    <row r="653" spans="3:20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  <c r="T653" s="5"/>
    </row>
    <row r="654" spans="3:20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  <c r="T654" s="5"/>
    </row>
    <row r="655" spans="3:20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  <c r="T655" s="5"/>
    </row>
    <row r="656" spans="3:20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  <c r="T656" s="5"/>
    </row>
    <row r="657" spans="3:20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  <c r="T657" s="5"/>
    </row>
    <row r="658" spans="3:20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  <c r="T658" s="5"/>
    </row>
    <row r="659" spans="3:20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  <c r="T659" s="5"/>
    </row>
    <row r="660" spans="3:20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  <c r="T660" s="5"/>
    </row>
    <row r="661" spans="3:20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  <c r="T661" s="5"/>
    </row>
    <row r="662" spans="3:20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  <c r="T662" s="5"/>
    </row>
    <row r="663" spans="3:20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  <c r="T663" s="5"/>
    </row>
    <row r="664" spans="3:20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  <c r="T664" s="5"/>
    </row>
    <row r="665" spans="3:20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  <c r="T665" s="5"/>
    </row>
    <row r="666" spans="3:20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  <c r="T666" s="5"/>
    </row>
    <row r="667" spans="3:20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  <c r="T667" s="5"/>
    </row>
    <row r="668" spans="3:20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  <c r="T668" s="5"/>
    </row>
    <row r="669" spans="3:20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  <c r="T669" s="5"/>
    </row>
    <row r="670" spans="3:20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  <c r="T670" s="5"/>
    </row>
    <row r="671" spans="3:20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  <c r="T671" s="5"/>
    </row>
    <row r="672" spans="3:20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  <c r="T672" s="5"/>
    </row>
    <row r="673" spans="3:20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  <c r="T673" s="5"/>
    </row>
    <row r="674" spans="3:20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  <c r="T674" s="5"/>
    </row>
    <row r="675" spans="3:20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  <c r="T675" s="5"/>
    </row>
    <row r="676" spans="3:20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  <c r="T676" s="5"/>
    </row>
    <row r="677" spans="3:20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  <c r="T677" s="5"/>
    </row>
    <row r="678" spans="3:20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  <c r="T678" s="5"/>
    </row>
    <row r="679" spans="3:20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  <c r="T679" s="5"/>
    </row>
    <row r="680" spans="3:20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  <c r="T680" s="5"/>
    </row>
    <row r="681" spans="3:20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  <c r="T681" s="5"/>
    </row>
    <row r="682" spans="3:20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  <c r="T682" s="5"/>
    </row>
    <row r="683" spans="3:20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  <c r="T683" s="5"/>
    </row>
    <row r="684" spans="3:20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  <c r="T684" s="5"/>
    </row>
    <row r="685" spans="3:20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  <c r="T685" s="5"/>
    </row>
    <row r="686" spans="3:20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  <c r="T686" s="5"/>
    </row>
    <row r="687" spans="3:20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  <c r="T687" s="5"/>
    </row>
    <row r="688" spans="3:20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  <c r="T688" s="5"/>
    </row>
    <row r="689" spans="3:20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  <c r="T689" s="5"/>
    </row>
    <row r="690" spans="3:20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  <c r="T690" s="5"/>
    </row>
    <row r="691" spans="3:20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  <c r="T691" s="5"/>
    </row>
    <row r="692" spans="3:20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  <c r="T692" s="5"/>
    </row>
    <row r="693" spans="3:20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  <c r="T693" s="5"/>
    </row>
    <row r="694" spans="3:20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  <c r="T694" s="5"/>
    </row>
    <row r="695" spans="3:20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  <c r="T695" s="5"/>
    </row>
    <row r="696" spans="3:20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  <c r="T696" s="5"/>
    </row>
    <row r="697" spans="3:20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  <c r="T697" s="5"/>
    </row>
    <row r="698" spans="3:20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  <c r="T698" s="5"/>
    </row>
    <row r="699" spans="3:20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  <c r="T699" s="5"/>
    </row>
    <row r="700" spans="3:20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  <c r="T700" s="5"/>
    </row>
    <row r="701" spans="3:20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  <c r="T701" s="5"/>
    </row>
    <row r="702" spans="3:20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  <c r="T702" s="5"/>
    </row>
    <row r="703" spans="3:20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  <c r="T703" s="5"/>
    </row>
    <row r="704" spans="3:20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  <c r="T704" s="5"/>
    </row>
    <row r="705" spans="3:20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  <c r="T705" s="5"/>
    </row>
    <row r="706" spans="3:20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  <c r="T706" s="5"/>
    </row>
    <row r="707" spans="3:20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  <c r="T707" s="5"/>
    </row>
    <row r="708" spans="3:20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  <c r="T708" s="5"/>
    </row>
    <row r="709" spans="3:20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  <c r="T709" s="5"/>
    </row>
    <row r="710" spans="3:20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  <c r="T710" s="5"/>
    </row>
    <row r="711" spans="3:20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  <c r="T711" s="5"/>
    </row>
    <row r="712" spans="3:20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  <c r="T712" s="5"/>
    </row>
    <row r="713" spans="3:20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  <c r="T713" s="5"/>
    </row>
    <row r="714" spans="3:20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  <c r="T714" s="5"/>
    </row>
    <row r="715" spans="3:20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  <c r="T715" s="5"/>
    </row>
    <row r="716" spans="3:20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  <c r="T716" s="5"/>
    </row>
    <row r="717" spans="3:20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  <c r="T717" s="5"/>
    </row>
    <row r="718" spans="3:20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  <c r="T718" s="5"/>
    </row>
    <row r="719" spans="3:20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  <c r="T719" s="5"/>
    </row>
    <row r="720" spans="3:20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  <c r="T720" s="5"/>
    </row>
    <row r="721" spans="3:20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  <c r="T721" s="5"/>
    </row>
    <row r="722" spans="3:20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  <c r="T722" s="5"/>
    </row>
    <row r="723" spans="3:20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  <c r="T723" s="5"/>
    </row>
    <row r="724" spans="3:20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  <c r="T724" s="5"/>
    </row>
    <row r="725" spans="3:20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  <c r="T725" s="5"/>
    </row>
    <row r="726" spans="3:20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  <c r="T726" s="5"/>
    </row>
    <row r="727" spans="3:20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  <c r="T727" s="5"/>
    </row>
    <row r="728" spans="3:20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  <c r="T728" s="5"/>
    </row>
    <row r="729" spans="3:20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  <c r="T729" s="5"/>
    </row>
    <row r="730" spans="3:20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  <c r="T730" s="5"/>
    </row>
    <row r="731" spans="3:20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  <c r="T731" s="5"/>
    </row>
    <row r="732" spans="3:20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  <c r="T732" s="5"/>
    </row>
    <row r="733" spans="3:20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  <c r="T733" s="5"/>
    </row>
    <row r="734" spans="3:20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  <c r="T734" s="5"/>
    </row>
    <row r="735" spans="3:20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  <c r="T735" s="5"/>
    </row>
    <row r="736" spans="3:20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  <c r="T736" s="5"/>
    </row>
    <row r="737" spans="3:20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  <c r="T737" s="5"/>
    </row>
    <row r="738" spans="3:20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  <c r="T738" s="5"/>
    </row>
    <row r="739" spans="3:20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  <c r="T739" s="5"/>
    </row>
    <row r="740" spans="3:20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  <c r="T740" s="5"/>
    </row>
    <row r="741" spans="3:20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  <c r="T741" s="5"/>
    </row>
    <row r="742" spans="3:20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  <c r="T742" s="5"/>
    </row>
    <row r="743" spans="3:20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  <c r="T743" s="5"/>
    </row>
    <row r="744" spans="3:20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  <c r="T744" s="5"/>
    </row>
    <row r="745" spans="3:20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  <c r="T745" s="5"/>
    </row>
    <row r="746" spans="3:20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  <c r="T746" s="5"/>
    </row>
    <row r="747" spans="3:20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  <c r="T747" s="5"/>
    </row>
    <row r="748" spans="3:20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  <c r="T748" s="5"/>
    </row>
    <row r="749" spans="3:20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  <c r="T749" s="5"/>
    </row>
    <row r="750" spans="3:20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  <c r="T750" s="5"/>
    </row>
    <row r="751" spans="3:20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  <c r="T751" s="5"/>
    </row>
    <row r="752" spans="3:20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  <c r="T752" s="5"/>
    </row>
    <row r="753" spans="3:20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  <c r="T753" s="5"/>
    </row>
    <row r="754" spans="3:20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  <c r="T754" s="5"/>
    </row>
    <row r="755" spans="3:20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  <c r="T755" s="5"/>
    </row>
    <row r="756" spans="3:20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  <c r="T756" s="5"/>
    </row>
    <row r="757" spans="3:20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  <c r="T757" s="5"/>
    </row>
    <row r="758" spans="3:20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  <c r="T758" s="5"/>
    </row>
    <row r="759" spans="3:20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  <c r="T759" s="5"/>
    </row>
    <row r="760" spans="3:20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  <c r="T760" s="5"/>
    </row>
    <row r="761" spans="3:20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  <c r="T761" s="5"/>
    </row>
    <row r="762" spans="3:20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  <c r="T762" s="5"/>
    </row>
    <row r="763" spans="3:20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  <c r="T763" s="5"/>
    </row>
    <row r="764" spans="3:20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  <c r="T764" s="5"/>
    </row>
    <row r="765" spans="3:20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  <c r="T765" s="5"/>
    </row>
    <row r="766" spans="3:20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  <c r="T766" s="5"/>
    </row>
    <row r="767" spans="3:20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  <c r="T767" s="5"/>
    </row>
    <row r="768" spans="3:20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  <c r="T768" s="5"/>
    </row>
    <row r="769" spans="3:20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  <c r="T769" s="5"/>
    </row>
    <row r="770" spans="3:20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  <c r="T770" s="5"/>
    </row>
    <row r="771" spans="3:20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  <c r="T771" s="5"/>
    </row>
    <row r="772" spans="3:20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  <c r="T772" s="5"/>
    </row>
    <row r="773" spans="3:20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  <c r="T773" s="5"/>
    </row>
    <row r="774" spans="3:20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  <c r="T774" s="5"/>
    </row>
    <row r="775" spans="3:20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  <c r="T775" s="5"/>
    </row>
    <row r="776" spans="3:20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  <c r="T776" s="5"/>
    </row>
    <row r="777" spans="3:20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  <c r="T777" s="5"/>
    </row>
    <row r="778" spans="3:20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  <c r="T778" s="5"/>
    </row>
    <row r="779" spans="3:20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  <c r="T779" s="5"/>
    </row>
    <row r="780" spans="3:20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  <c r="T780" s="5"/>
    </row>
    <row r="781" spans="3:20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  <c r="T781" s="5"/>
    </row>
    <row r="782" spans="3:20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  <c r="T782" s="5"/>
    </row>
    <row r="783" spans="3:20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  <c r="T783" s="5"/>
    </row>
    <row r="784" spans="3:20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  <c r="T784" s="5"/>
    </row>
    <row r="785" spans="3:20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  <c r="T785" s="5"/>
    </row>
    <row r="786" spans="3:20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  <c r="T786" s="5"/>
    </row>
    <row r="787" spans="3:20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  <c r="T787" s="5"/>
    </row>
    <row r="788" spans="3:20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  <c r="T788" s="5"/>
    </row>
    <row r="789" spans="3:20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  <c r="T789" s="5"/>
    </row>
    <row r="790" spans="3:20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  <c r="T790" s="5"/>
    </row>
    <row r="791" spans="3:20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  <c r="T791" s="5"/>
    </row>
    <row r="792" spans="3:20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  <c r="T792" s="5"/>
    </row>
    <row r="793" spans="3:20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  <c r="T793" s="5"/>
    </row>
    <row r="794" spans="3:20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  <c r="T794" s="5"/>
    </row>
    <row r="795" spans="3:20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  <c r="T795" s="5"/>
    </row>
    <row r="796" spans="3:20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  <c r="T796" s="5"/>
    </row>
    <row r="797" spans="3:20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  <c r="T797" s="5"/>
    </row>
    <row r="798" spans="3:20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  <c r="T798" s="5"/>
    </row>
    <row r="799" spans="3:20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  <c r="T799" s="5"/>
    </row>
    <row r="800" spans="3:20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  <c r="T800" s="5"/>
    </row>
    <row r="801" spans="3:20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  <c r="T801" s="5"/>
    </row>
    <row r="802" spans="3:20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  <c r="T802" s="5"/>
    </row>
    <row r="803" spans="3:20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  <c r="T803" s="5"/>
    </row>
    <row r="804" spans="3:20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  <c r="T804" s="5"/>
    </row>
    <row r="805" spans="3:20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  <c r="T805" s="5"/>
    </row>
    <row r="806" spans="3:20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  <c r="T806" s="5"/>
    </row>
    <row r="807" spans="3:20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  <c r="T807" s="5"/>
    </row>
    <row r="808" spans="3:20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  <c r="T808" s="5"/>
    </row>
    <row r="809" spans="3:20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  <c r="T809" s="5"/>
    </row>
    <row r="810" spans="3:20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  <c r="T810" s="5"/>
    </row>
    <row r="811" spans="3:20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  <c r="T811" s="5"/>
    </row>
    <row r="812" spans="3:20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  <c r="T812" s="5"/>
    </row>
    <row r="813" spans="3:20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  <c r="T813" s="5"/>
    </row>
    <row r="814" spans="3:20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  <c r="T814" s="5"/>
    </row>
    <row r="815" spans="3:20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  <c r="T815" s="5"/>
    </row>
    <row r="816" spans="3:20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  <c r="T816" s="5"/>
    </row>
    <row r="817" spans="3:20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  <c r="T817" s="5"/>
    </row>
    <row r="818" spans="3:20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  <c r="T818" s="5"/>
    </row>
    <row r="819" spans="3:20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  <c r="T819" s="5"/>
    </row>
    <row r="820" spans="3:20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  <c r="T820" s="5"/>
    </row>
    <row r="821" spans="3:20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  <c r="T821" s="5"/>
    </row>
    <row r="822" spans="3:20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  <c r="T822" s="5"/>
    </row>
    <row r="823" spans="3:20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  <c r="T823" s="5"/>
    </row>
    <row r="824" spans="3:20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  <c r="T824" s="5"/>
    </row>
    <row r="825" spans="3:20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  <c r="T825" s="5"/>
    </row>
    <row r="826" spans="3:20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  <c r="T826" s="5"/>
    </row>
    <row r="827" spans="3:20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  <c r="T827" s="5"/>
    </row>
    <row r="828" spans="3:20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  <c r="T828" s="5"/>
    </row>
    <row r="829" spans="3:20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  <c r="T829" s="5"/>
    </row>
    <row r="830" spans="3:20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  <c r="T830" s="5"/>
    </row>
    <row r="831" spans="3:20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  <c r="T831" s="5"/>
    </row>
    <row r="832" spans="3:20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  <c r="T832" s="5"/>
    </row>
    <row r="833" spans="3:20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  <c r="T833" s="5"/>
    </row>
    <row r="834" spans="3:20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  <c r="T834" s="5"/>
    </row>
    <row r="835" spans="3:20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  <c r="T835" s="5"/>
    </row>
    <row r="836" spans="3:20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  <c r="T836" s="5"/>
    </row>
    <row r="837" spans="3:20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  <c r="T837" s="5"/>
    </row>
    <row r="838" spans="3:20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  <c r="T838" s="5"/>
    </row>
    <row r="839" spans="3:20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  <c r="T839" s="5"/>
    </row>
    <row r="840" spans="3:20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  <c r="T840" s="5"/>
    </row>
    <row r="841" spans="3:20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  <c r="T841" s="5"/>
    </row>
    <row r="842" spans="3:20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  <c r="T842" s="5"/>
    </row>
    <row r="843" spans="3:20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  <c r="T843" s="5"/>
    </row>
    <row r="844" spans="3:20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  <c r="T844" s="5"/>
    </row>
    <row r="845" spans="3:20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  <c r="T845" s="5"/>
    </row>
    <row r="846" spans="3:20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  <c r="T846" s="5"/>
    </row>
    <row r="847" spans="3:20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  <c r="T847" s="5"/>
    </row>
    <row r="848" spans="3:20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  <c r="T848" s="5"/>
    </row>
    <row r="849" spans="3:20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  <c r="T849" s="5"/>
    </row>
    <row r="850" spans="3:20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  <c r="T850" s="5"/>
    </row>
    <row r="851" spans="3:20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  <c r="T851" s="5"/>
    </row>
    <row r="852" spans="3:20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  <c r="T852" s="5"/>
    </row>
    <row r="853" spans="3:20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  <c r="T853" s="5"/>
    </row>
    <row r="854" spans="3:20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  <c r="T854" s="5"/>
    </row>
    <row r="855" spans="3:20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  <c r="T855" s="5"/>
    </row>
    <row r="856" spans="3:20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  <c r="T856" s="5"/>
    </row>
    <row r="857" spans="3:20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  <c r="T857" s="5"/>
    </row>
    <row r="858" spans="3:20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  <c r="T858" s="5"/>
    </row>
    <row r="859" spans="3:20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  <c r="T859" s="5"/>
    </row>
    <row r="860" spans="3:20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  <c r="T860" s="5"/>
    </row>
    <row r="861" spans="3:20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  <c r="T861" s="5"/>
    </row>
    <row r="862" spans="3:20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  <c r="T862" s="5"/>
    </row>
    <row r="863" spans="3:20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  <c r="T863" s="5"/>
    </row>
    <row r="864" spans="3:20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  <c r="T864" s="5"/>
    </row>
    <row r="865" spans="3:20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  <c r="T865" s="5"/>
    </row>
    <row r="866" spans="3:20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  <c r="T866" s="5"/>
    </row>
    <row r="867" spans="3:20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  <c r="T867" s="5"/>
    </row>
    <row r="868" spans="3:20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  <c r="T868" s="5"/>
    </row>
    <row r="869" spans="3:20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  <c r="T869" s="5"/>
    </row>
    <row r="870" spans="3:20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  <c r="T870" s="5"/>
    </row>
    <row r="871" spans="3:20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  <c r="T871" s="5"/>
    </row>
    <row r="872" spans="3:20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  <c r="T872" s="5"/>
    </row>
    <row r="873" spans="3:20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  <c r="T873" s="5"/>
    </row>
    <row r="874" spans="3:20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  <c r="T874" s="5"/>
    </row>
    <row r="875" spans="3:20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  <c r="T875" s="5"/>
    </row>
    <row r="876" spans="3:20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  <c r="T876" s="5"/>
    </row>
    <row r="877" spans="3:20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  <c r="T877" s="5"/>
    </row>
    <row r="878" spans="3:20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  <c r="T878" s="5"/>
    </row>
    <row r="879" spans="3:20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  <c r="T879" s="5"/>
    </row>
    <row r="880" spans="3:20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  <c r="T880" s="5"/>
    </row>
    <row r="881" spans="3:20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  <c r="T881" s="5"/>
    </row>
    <row r="882" spans="3:20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  <c r="T882" s="5"/>
    </row>
    <row r="883" spans="3:20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  <c r="T883" s="5"/>
    </row>
    <row r="884" spans="3:20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  <c r="T884" s="5"/>
    </row>
    <row r="885" spans="3:20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  <c r="T885" s="5"/>
    </row>
    <row r="886" spans="3:20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  <c r="T886" s="5"/>
    </row>
    <row r="887" spans="3:20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  <c r="T887" s="5"/>
    </row>
    <row r="888" spans="3:20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  <c r="T888" s="5"/>
    </row>
    <row r="889" spans="3:20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  <c r="T889" s="5"/>
    </row>
    <row r="890" spans="3:20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  <c r="T890" s="5"/>
    </row>
    <row r="891" spans="3:20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  <c r="T891" s="5"/>
    </row>
    <row r="892" spans="3:20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  <c r="T892" s="5"/>
    </row>
    <row r="893" spans="3:20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  <c r="T893" s="5"/>
    </row>
    <row r="894" spans="3:20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  <c r="T894" s="5"/>
    </row>
    <row r="895" spans="3:20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  <c r="T895" s="5"/>
    </row>
    <row r="896" spans="3:20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  <c r="T896" s="5"/>
    </row>
    <row r="897" spans="3:20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  <c r="T897" s="5"/>
    </row>
    <row r="898" spans="3:20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  <c r="T898" s="5"/>
    </row>
    <row r="899" spans="3:20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  <c r="T899" s="5"/>
    </row>
    <row r="900" spans="3:20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  <c r="T900" s="5"/>
    </row>
    <row r="901" spans="3:20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  <c r="T901" s="5"/>
    </row>
    <row r="902" spans="3:20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  <c r="T902" s="5"/>
    </row>
    <row r="903" spans="3:20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  <c r="T903" s="5"/>
    </row>
    <row r="904" spans="3:20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  <c r="T904" s="5"/>
    </row>
    <row r="905" spans="3:20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  <c r="T905" s="5"/>
    </row>
    <row r="906" spans="3:20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  <c r="T906" s="5"/>
    </row>
    <row r="907" spans="3:20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  <c r="T907" s="5"/>
    </row>
    <row r="908" spans="3:20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  <c r="T908" s="5"/>
    </row>
    <row r="909" spans="3:20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  <c r="T909" s="5"/>
    </row>
    <row r="910" spans="3:20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  <c r="T910" s="5"/>
    </row>
    <row r="911" spans="3:20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  <c r="T911" s="5"/>
    </row>
    <row r="912" spans="3:20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  <c r="T912" s="5"/>
    </row>
    <row r="913" spans="3:20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  <c r="T913" s="5"/>
    </row>
    <row r="914" spans="3:20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  <c r="T914" s="5"/>
    </row>
    <row r="915" spans="3:20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  <c r="T915" s="5"/>
    </row>
    <row r="916" spans="3:20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  <c r="T916" s="5"/>
    </row>
    <row r="917" spans="3:20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  <c r="T917" s="5"/>
    </row>
    <row r="918" spans="3:20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  <c r="T918" s="5"/>
    </row>
    <row r="919" spans="3:20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  <c r="T919" s="5"/>
    </row>
    <row r="920" spans="3:20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  <c r="T920" s="5"/>
    </row>
    <row r="921" spans="3:20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  <c r="T921" s="5"/>
    </row>
    <row r="922" spans="3:20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  <c r="T922" s="5"/>
    </row>
    <row r="923" spans="3:20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  <c r="T923" s="5"/>
    </row>
    <row r="924" spans="3:20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  <c r="T924" s="5"/>
    </row>
    <row r="925" spans="3:20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  <c r="T925" s="5"/>
    </row>
    <row r="926" spans="3:20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  <c r="T926" s="5"/>
    </row>
    <row r="927" spans="3:20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  <c r="T927" s="5"/>
    </row>
    <row r="928" spans="3:20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  <c r="T928" s="5"/>
    </row>
    <row r="929" spans="3:20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  <c r="T929" s="5"/>
    </row>
    <row r="930" spans="3:20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  <c r="T930" s="5"/>
    </row>
    <row r="931" spans="3:20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  <c r="T931" s="5"/>
    </row>
    <row r="932" spans="3:20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  <c r="T932" s="5"/>
    </row>
    <row r="933" spans="3:20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  <c r="T933" s="5"/>
    </row>
    <row r="934" spans="3:20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  <c r="T934" s="5"/>
    </row>
    <row r="935" spans="3:20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  <c r="T935" s="5"/>
    </row>
    <row r="936" spans="3:20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  <c r="T936" s="5"/>
    </row>
    <row r="937" spans="3:20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  <c r="T937" s="5"/>
    </row>
    <row r="938" spans="3:20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  <c r="T938" s="5"/>
    </row>
    <row r="939" spans="3:20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  <c r="T939" s="5"/>
    </row>
    <row r="940" spans="3:20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  <c r="T940" s="5"/>
    </row>
    <row r="941" spans="3:20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  <c r="T941" s="5"/>
    </row>
    <row r="942" spans="3:20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  <c r="T942" s="5"/>
    </row>
    <row r="943" spans="3:20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  <c r="T943" s="5"/>
    </row>
    <row r="944" spans="3:20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  <c r="T944" s="5"/>
    </row>
    <row r="945" spans="3:20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  <c r="T945" s="5"/>
    </row>
    <row r="946" spans="3:20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  <c r="T946" s="5"/>
    </row>
    <row r="947" spans="3:20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  <c r="T947" s="5"/>
    </row>
    <row r="948" spans="3:20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  <c r="T948" s="5"/>
    </row>
    <row r="949" spans="3:20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  <c r="T949" s="5"/>
    </row>
    <row r="950" spans="3:20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  <c r="T950" s="5"/>
    </row>
    <row r="951" spans="3:20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  <c r="T951" s="5"/>
    </row>
    <row r="952" spans="3:20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  <c r="T952" s="5"/>
    </row>
    <row r="953" spans="3:20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  <c r="T953" s="5"/>
    </row>
    <row r="954" spans="3:20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  <c r="T954" s="5"/>
    </row>
    <row r="955" spans="3:20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  <c r="T955" s="5"/>
    </row>
    <row r="956" spans="3:20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  <c r="T956" s="5"/>
    </row>
    <row r="957" spans="3:20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  <c r="T957" s="5"/>
    </row>
    <row r="958" spans="3:20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  <c r="T958" s="5"/>
    </row>
    <row r="959" spans="3:20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  <c r="T959" s="5"/>
    </row>
    <row r="960" spans="3:20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  <c r="T960" s="5"/>
    </row>
    <row r="961" spans="3:20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  <c r="T961" s="5"/>
    </row>
    <row r="962" spans="3:20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  <c r="T962" s="5"/>
    </row>
    <row r="963" spans="3:20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  <c r="T963" s="5"/>
    </row>
    <row r="964" spans="3:20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  <c r="T964" s="5"/>
    </row>
    <row r="965" spans="3:20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  <c r="T965" s="5"/>
    </row>
    <row r="966" spans="3:20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  <c r="T966" s="5"/>
    </row>
    <row r="967" spans="3:20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  <c r="T967" s="5"/>
    </row>
    <row r="968" spans="3:20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  <c r="T968" s="5"/>
    </row>
    <row r="969" spans="3:20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  <c r="T969" s="5"/>
    </row>
    <row r="970" spans="3:20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  <c r="T970" s="5"/>
    </row>
    <row r="971" spans="3:20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  <c r="T971" s="5"/>
    </row>
    <row r="972" spans="3:20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  <c r="T972" s="5"/>
    </row>
    <row r="973" spans="3:20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  <c r="T973" s="5"/>
    </row>
    <row r="974" spans="3:20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  <c r="T974" s="5"/>
    </row>
    <row r="975" spans="3:20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  <c r="T975" s="5"/>
    </row>
    <row r="976" spans="3:20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  <c r="T976" s="5"/>
    </row>
    <row r="977" spans="3:20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  <c r="T977" s="5"/>
    </row>
    <row r="978" spans="3:20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  <c r="T978" s="5"/>
    </row>
    <row r="979" spans="3:20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  <c r="T979" s="5"/>
    </row>
    <row r="980" spans="3:20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  <c r="T980" s="5"/>
    </row>
    <row r="981" spans="3:20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  <c r="T981" s="5"/>
    </row>
    <row r="982" spans="3:20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  <c r="T982" s="5"/>
    </row>
    <row r="983" spans="3:20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  <c r="T983" s="5"/>
    </row>
    <row r="984" spans="3:20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  <c r="T984" s="5"/>
    </row>
    <row r="985" spans="3:20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  <c r="T985" s="5"/>
    </row>
    <row r="986" spans="3:20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  <c r="T986" s="5"/>
    </row>
    <row r="987" spans="3:20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  <c r="T987" s="5"/>
    </row>
    <row r="988" spans="3:20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  <c r="T988" s="5"/>
    </row>
    <row r="989" spans="3:20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  <c r="T989" s="5"/>
    </row>
    <row r="990" spans="3:20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  <c r="T990" s="5"/>
    </row>
    <row r="991" spans="3:20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  <c r="T991" s="5"/>
    </row>
    <row r="992" spans="3:20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  <c r="T992" s="5"/>
    </row>
    <row r="993" spans="3:20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  <c r="T993" s="5"/>
    </row>
    <row r="994" spans="3:20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  <c r="T994" s="5"/>
    </row>
    <row r="995" spans="3:20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  <c r="T995" s="5"/>
    </row>
    <row r="996" spans="3:20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  <c r="T996" s="5"/>
    </row>
    <row r="997" spans="3:20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  <c r="T997" s="5"/>
    </row>
    <row r="998" spans="3:20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  <c r="T998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6"/>
  <sheetViews>
    <sheetView topLeftCell="B1" workbookViewId="0">
      <selection activeCell="E14" sqref="E1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3" customWidth="1"/>
    <col min="21" max="37" width="7.625" customWidth="1"/>
  </cols>
  <sheetData>
    <row r="1" spans="1:37" ht="18.75" thickBot="1">
      <c r="A1" s="41"/>
      <c r="B1" s="484" t="s">
        <v>54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36"/>
      <c r="C2" s="136"/>
      <c r="D2" s="136"/>
      <c r="E2" s="136"/>
      <c r="F2" s="200"/>
      <c r="G2" s="136"/>
      <c r="H2" s="136"/>
      <c r="I2" s="136"/>
      <c r="J2" s="136"/>
      <c r="K2" s="136"/>
      <c r="L2" s="91"/>
      <c r="M2" s="492" t="s">
        <v>0</v>
      </c>
      <c r="N2" s="480"/>
      <c r="O2" s="481"/>
      <c r="P2" s="137" t="s">
        <v>32</v>
      </c>
      <c r="Q2" s="493" t="s">
        <v>33</v>
      </c>
      <c r="R2" s="480"/>
      <c r="S2" s="48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278" t="s">
        <v>34</v>
      </c>
      <c r="C3" s="279" t="s">
        <v>35</v>
      </c>
      <c r="D3" s="280" t="s">
        <v>36</v>
      </c>
      <c r="E3" s="281" t="s">
        <v>37</v>
      </c>
      <c r="F3" s="281" t="s">
        <v>38</v>
      </c>
      <c r="G3" s="282" t="s">
        <v>39</v>
      </c>
      <c r="H3" s="281" t="s">
        <v>40</v>
      </c>
      <c r="I3" s="281" t="s">
        <v>41</v>
      </c>
      <c r="J3" s="497" t="s">
        <v>42</v>
      </c>
      <c r="K3" s="498"/>
      <c r="L3" s="499"/>
      <c r="M3" s="283" t="s">
        <v>4</v>
      </c>
      <c r="N3" s="284" t="s">
        <v>5</v>
      </c>
      <c r="O3" s="285" t="s">
        <v>6</v>
      </c>
      <c r="P3" s="285" t="s">
        <v>4</v>
      </c>
      <c r="Q3" s="286" t="s">
        <v>8</v>
      </c>
      <c r="R3" s="287" t="s">
        <v>9</v>
      </c>
      <c r="S3" s="288" t="s">
        <v>44</v>
      </c>
    </row>
    <row r="4" spans="1:37" ht="22.5" customHeight="1">
      <c r="A4" s="10"/>
      <c r="B4" s="109">
        <v>1</v>
      </c>
      <c r="C4" s="110" t="s">
        <v>136</v>
      </c>
      <c r="D4" s="359" t="s">
        <v>138</v>
      </c>
      <c r="E4" s="417" t="s">
        <v>242</v>
      </c>
      <c r="F4" s="360" t="s">
        <v>139</v>
      </c>
      <c r="G4" s="404" t="s">
        <v>140</v>
      </c>
      <c r="H4" s="113" t="str">
        <f t="shared" ref="H4" si="0">UPPER(G4)</f>
        <v>PARTICIPAR DA OFICINA APRIMORANDO AS RESPOSTAS AOS ÓRGÃOS DE CONTROLE</v>
      </c>
      <c r="I4" s="114" t="s">
        <v>114</v>
      </c>
      <c r="J4" s="115">
        <v>45047</v>
      </c>
      <c r="K4" s="111">
        <v>22</v>
      </c>
      <c r="L4" s="116">
        <v>23</v>
      </c>
      <c r="M4" s="363">
        <f>57.8</f>
        <v>57.8</v>
      </c>
      <c r="N4" s="363">
        <v>124.05</v>
      </c>
      <c r="O4" s="117">
        <v>44.93</v>
      </c>
      <c r="P4" s="118"/>
      <c r="Q4" s="378">
        <v>1591</v>
      </c>
      <c r="R4" s="379">
        <f>569+109.45</f>
        <v>678.45</v>
      </c>
      <c r="S4" s="299">
        <f t="shared" ref="S4" si="1">M4+N4+O4+P4+Q4+R4</f>
        <v>2496.23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353" customFormat="1" ht="22.5" customHeight="1">
      <c r="A5" s="10"/>
      <c r="B5" s="182">
        <v>2</v>
      </c>
      <c r="C5" s="99" t="s">
        <v>137</v>
      </c>
      <c r="D5" s="397" t="s">
        <v>65</v>
      </c>
      <c r="E5" s="413" t="s">
        <v>243</v>
      </c>
      <c r="F5" s="333" t="s">
        <v>66</v>
      </c>
      <c r="G5" s="273" t="s">
        <v>141</v>
      </c>
      <c r="H5" s="180" t="str">
        <f>UPPER(G5)</f>
        <v>PARTICIPAR DO FINEP ORIENTA, VINCULADO A PRESTAÇÃO DE CONTAS DO PROJETO FINEP ONDE O HCPA É PROPONENTE E GANHADOR DE RECURSOS PARA A CONSTRUÇÃO DO ESPAÇO DE INOVAÇÃO JUNTO AO PRÉDIO DO CITI.</v>
      </c>
      <c r="I5" s="103" t="s">
        <v>157</v>
      </c>
      <c r="J5" s="104">
        <v>45047</v>
      </c>
      <c r="K5" s="101">
        <v>17</v>
      </c>
      <c r="L5" s="105">
        <v>19</v>
      </c>
      <c r="M5" s="356">
        <v>0</v>
      </c>
      <c r="N5" s="356">
        <v>351.66</v>
      </c>
      <c r="O5" s="403">
        <v>71.760000000000005</v>
      </c>
      <c r="P5" s="258"/>
      <c r="Q5" s="357">
        <v>0</v>
      </c>
      <c r="R5" s="336">
        <v>868.56</v>
      </c>
      <c r="S5" s="183">
        <f>M5+N5+O5+Q5+R5</f>
        <v>1291.98</v>
      </c>
      <c r="T5" s="402" t="s">
        <v>158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53" customFormat="1" ht="22.5" customHeight="1">
      <c r="A6" s="10"/>
      <c r="B6" s="182">
        <v>3</v>
      </c>
      <c r="C6" s="99" t="s">
        <v>129</v>
      </c>
      <c r="D6" s="397" t="s">
        <v>138</v>
      </c>
      <c r="E6" s="413" t="s">
        <v>242</v>
      </c>
      <c r="F6" s="342" t="s">
        <v>139</v>
      </c>
      <c r="G6" s="333" t="s">
        <v>142</v>
      </c>
      <c r="H6" s="180" t="str">
        <f t="shared" ref="H6:H13" si="2">UPPER(G6)</f>
        <v>PARTICIPAÇÃO NO 56 FONAITEC.</v>
      </c>
      <c r="I6" s="103" t="s">
        <v>155</v>
      </c>
      <c r="J6" s="334">
        <v>45078</v>
      </c>
      <c r="K6" s="398">
        <v>20</v>
      </c>
      <c r="L6" s="399">
        <v>23</v>
      </c>
      <c r="M6" s="356">
        <v>209.88</v>
      </c>
      <c r="N6" s="356">
        <v>250.37</v>
      </c>
      <c r="O6" s="43"/>
      <c r="P6" s="258"/>
      <c r="Q6" s="357">
        <v>2572.4899999999998</v>
      </c>
      <c r="R6" s="336">
        <f>945+170</f>
        <v>1115</v>
      </c>
      <c r="S6" s="183">
        <f t="shared" ref="S6:S13" si="3">M6+N6+O6+Q6+R6</f>
        <v>4147.74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53" customFormat="1" ht="22.5" customHeight="1">
      <c r="A7" s="10"/>
      <c r="B7" s="182">
        <v>4</v>
      </c>
      <c r="C7" s="99" t="s">
        <v>129</v>
      </c>
      <c r="D7" s="397" t="s">
        <v>143</v>
      </c>
      <c r="E7" s="413" t="s">
        <v>244</v>
      </c>
      <c r="F7" s="333" t="s">
        <v>144</v>
      </c>
      <c r="G7" s="333" t="s">
        <v>142</v>
      </c>
      <c r="H7" s="180" t="str">
        <f t="shared" si="2"/>
        <v>PARTICIPAÇÃO NO 56 FONAITEC.</v>
      </c>
      <c r="I7" s="103" t="s">
        <v>155</v>
      </c>
      <c r="J7" s="334">
        <v>45078</v>
      </c>
      <c r="K7" s="398">
        <v>20</v>
      </c>
      <c r="L7" s="399">
        <v>23</v>
      </c>
      <c r="M7" s="356">
        <v>180</v>
      </c>
      <c r="N7" s="356">
        <v>70.3</v>
      </c>
      <c r="O7" s="43"/>
      <c r="P7" s="258"/>
      <c r="Q7" s="357">
        <v>2626.29</v>
      </c>
      <c r="R7" s="336">
        <f>945+318</f>
        <v>1263</v>
      </c>
      <c r="S7" s="183">
        <f t="shared" si="3"/>
        <v>4139.59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53" customFormat="1" ht="22.5" customHeight="1">
      <c r="A8" s="10"/>
      <c r="B8" s="182">
        <v>5</v>
      </c>
      <c r="C8" s="99" t="s">
        <v>130</v>
      </c>
      <c r="D8" s="101" t="s">
        <v>78</v>
      </c>
      <c r="E8" s="434" t="s">
        <v>229</v>
      </c>
      <c r="F8" s="101" t="s">
        <v>79</v>
      </c>
      <c r="G8" s="333" t="s">
        <v>145</v>
      </c>
      <c r="H8" s="180" t="str">
        <f t="shared" si="2"/>
        <v>PARTIC. AUDIÊNCIA COM O DIRETOR PROGR. DA SAES</v>
      </c>
      <c r="I8" s="103" t="s">
        <v>114</v>
      </c>
      <c r="J8" s="104">
        <v>45047</v>
      </c>
      <c r="K8" s="400">
        <v>30</v>
      </c>
      <c r="L8" s="401">
        <v>30</v>
      </c>
      <c r="M8" s="356">
        <v>0</v>
      </c>
      <c r="N8" s="356">
        <v>97</v>
      </c>
      <c r="O8" s="43"/>
      <c r="P8" s="258"/>
      <c r="Q8" s="357">
        <f>2753+957.73</f>
        <v>3710.73</v>
      </c>
      <c r="R8" s="336">
        <v>0</v>
      </c>
      <c r="S8" s="183">
        <f t="shared" si="3"/>
        <v>3807.73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53" customFormat="1" ht="22.5" customHeight="1">
      <c r="A9" s="10"/>
      <c r="B9" s="182">
        <v>6</v>
      </c>
      <c r="C9" s="99" t="s">
        <v>131</v>
      </c>
      <c r="D9" s="397" t="s">
        <v>146</v>
      </c>
      <c r="E9" s="413" t="s">
        <v>245</v>
      </c>
      <c r="F9" s="338" t="s">
        <v>147</v>
      </c>
      <c r="G9" s="333" t="s">
        <v>145</v>
      </c>
      <c r="H9" s="180" t="str">
        <f t="shared" si="2"/>
        <v>PARTIC. AUDIÊNCIA COM O DIRETOR PROGR. DA SAES</v>
      </c>
      <c r="I9" s="103" t="s">
        <v>114</v>
      </c>
      <c r="J9" s="104">
        <v>45047</v>
      </c>
      <c r="K9" s="400">
        <v>30</v>
      </c>
      <c r="L9" s="401">
        <v>30</v>
      </c>
      <c r="M9" s="356">
        <v>59</v>
      </c>
      <c r="N9" s="356">
        <v>55</v>
      </c>
      <c r="O9" s="43"/>
      <c r="P9" s="258"/>
      <c r="Q9" s="357">
        <f>957.73+1215.27</f>
        <v>2173</v>
      </c>
      <c r="R9" s="395">
        <v>0</v>
      </c>
      <c r="S9" s="183">
        <f t="shared" si="3"/>
        <v>2287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53" customFormat="1" ht="22.5" customHeight="1">
      <c r="A10" s="10"/>
      <c r="B10" s="182">
        <v>7</v>
      </c>
      <c r="C10" s="99" t="s">
        <v>132</v>
      </c>
      <c r="D10" s="397" t="s">
        <v>148</v>
      </c>
      <c r="E10" s="413" t="s">
        <v>246</v>
      </c>
      <c r="F10" s="333" t="s">
        <v>149</v>
      </c>
      <c r="G10" s="333" t="s">
        <v>150</v>
      </c>
      <c r="H10" s="180" t="str">
        <f t="shared" si="2"/>
        <v>PARTICIPAÇÃO DA FEIRA HOSPITALAR 2023</v>
      </c>
      <c r="I10" s="103" t="s">
        <v>156</v>
      </c>
      <c r="J10" s="104">
        <v>45047</v>
      </c>
      <c r="K10" s="400">
        <v>23</v>
      </c>
      <c r="L10" s="401">
        <v>23</v>
      </c>
      <c r="M10" s="356">
        <v>0</v>
      </c>
      <c r="N10" s="356">
        <v>214.02</v>
      </c>
      <c r="O10" s="43"/>
      <c r="P10" s="258"/>
      <c r="Q10" s="357">
        <v>3670.56</v>
      </c>
      <c r="R10" s="395">
        <v>0</v>
      </c>
      <c r="S10" s="183">
        <f t="shared" si="3"/>
        <v>3884.58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53" customFormat="1" ht="22.5" customHeight="1">
      <c r="A11" s="10"/>
      <c r="B11" s="182">
        <v>8</v>
      </c>
      <c r="C11" s="99" t="s">
        <v>133</v>
      </c>
      <c r="D11" s="397" t="s">
        <v>151</v>
      </c>
      <c r="E11" s="413" t="s">
        <v>247</v>
      </c>
      <c r="F11" s="338" t="s">
        <v>152</v>
      </c>
      <c r="G11" s="333" t="s">
        <v>150</v>
      </c>
      <c r="H11" s="180" t="str">
        <f t="shared" si="2"/>
        <v>PARTICIPAÇÃO DA FEIRA HOSPITALAR 2023</v>
      </c>
      <c r="I11" s="103" t="s">
        <v>156</v>
      </c>
      <c r="J11" s="104">
        <v>45047</v>
      </c>
      <c r="K11" s="400">
        <v>23</v>
      </c>
      <c r="L11" s="401">
        <v>23</v>
      </c>
      <c r="M11" s="356">
        <v>54.84</v>
      </c>
      <c r="N11" s="356">
        <v>178.9</v>
      </c>
      <c r="O11" s="43"/>
      <c r="P11" s="258"/>
      <c r="Q11" s="357">
        <v>3670.56</v>
      </c>
      <c r="R11" s="395">
        <v>0</v>
      </c>
      <c r="S11" s="183">
        <f t="shared" si="3"/>
        <v>3904.3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53" customFormat="1" ht="22.5" customHeight="1">
      <c r="A12" s="10"/>
      <c r="B12" s="182">
        <v>9</v>
      </c>
      <c r="C12" s="99" t="s">
        <v>134</v>
      </c>
      <c r="D12" s="397" t="s">
        <v>153</v>
      </c>
      <c r="E12" s="413" t="s">
        <v>248</v>
      </c>
      <c r="F12" s="333" t="s">
        <v>154</v>
      </c>
      <c r="G12" s="333" t="s">
        <v>150</v>
      </c>
      <c r="H12" s="180" t="str">
        <f t="shared" si="2"/>
        <v>PARTICIPAÇÃO DA FEIRA HOSPITALAR 2023</v>
      </c>
      <c r="I12" s="103" t="s">
        <v>156</v>
      </c>
      <c r="J12" s="104">
        <v>45047</v>
      </c>
      <c r="K12" s="400">
        <v>23</v>
      </c>
      <c r="L12" s="401">
        <v>23</v>
      </c>
      <c r="M12" s="356">
        <v>19.95</v>
      </c>
      <c r="N12" s="356">
        <v>182.9</v>
      </c>
      <c r="O12" s="43"/>
      <c r="P12" s="258"/>
      <c r="Q12" s="357">
        <v>3670.56</v>
      </c>
      <c r="R12" s="395">
        <v>0</v>
      </c>
      <c r="S12" s="183">
        <f t="shared" si="3"/>
        <v>3873.41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53" customFormat="1" ht="22.5" customHeight="1" thickBot="1">
      <c r="A13" s="10"/>
      <c r="B13" s="312">
        <v>10</v>
      </c>
      <c r="C13" s="198" t="s">
        <v>135</v>
      </c>
      <c r="D13" s="405" t="s">
        <v>81</v>
      </c>
      <c r="E13" s="455" t="s">
        <v>230</v>
      </c>
      <c r="F13" s="124" t="s">
        <v>82</v>
      </c>
      <c r="G13" s="406" t="s">
        <v>145</v>
      </c>
      <c r="H13" s="316" t="str">
        <f t="shared" si="2"/>
        <v>PARTIC. AUDIÊNCIA COM O DIRETOR PROGR. DA SAES</v>
      </c>
      <c r="I13" s="127" t="s">
        <v>114</v>
      </c>
      <c r="J13" s="128">
        <v>45047</v>
      </c>
      <c r="K13" s="407">
        <v>30</v>
      </c>
      <c r="L13" s="408">
        <v>30</v>
      </c>
      <c r="M13" s="369">
        <v>109.77</v>
      </c>
      <c r="N13" s="369">
        <v>138.5</v>
      </c>
      <c r="O13" s="321"/>
      <c r="P13" s="322"/>
      <c r="Q13" s="371">
        <f>957.73+1215.27</f>
        <v>2173</v>
      </c>
      <c r="R13" s="396">
        <v>0</v>
      </c>
      <c r="S13" s="303">
        <f t="shared" si="3"/>
        <v>2421.27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thickBot="1">
      <c r="A14" s="10"/>
      <c r="B14" s="14"/>
      <c r="C14" s="15"/>
      <c r="D14" s="16"/>
      <c r="E14" s="16"/>
      <c r="F14" s="16"/>
      <c r="G14" s="16"/>
      <c r="H14" s="16"/>
      <c r="I14" s="16"/>
      <c r="J14" s="57"/>
      <c r="K14" s="58"/>
      <c r="L14" s="58"/>
      <c r="M14" s="17"/>
      <c r="N14" s="17"/>
      <c r="O14" s="17"/>
      <c r="P14" s="11"/>
      <c r="Q14" s="18"/>
      <c r="R14" s="19"/>
      <c r="S14" s="2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>
      <c r="A15" s="21"/>
      <c r="B15" s="59" t="s">
        <v>13</v>
      </c>
      <c r="C15" s="21"/>
      <c r="D15" s="60" t="s">
        <v>45</v>
      </c>
      <c r="E15" s="61"/>
      <c r="F15" s="21"/>
      <c r="G15" s="21"/>
      <c r="H15" s="21"/>
      <c r="I15" s="62"/>
      <c r="J15" s="21"/>
      <c r="K15" s="14"/>
      <c r="L15" s="21"/>
      <c r="M15" s="74">
        <f t="shared" ref="M15:R15" si="4">SUM(M4:M13)</f>
        <v>691.24</v>
      </c>
      <c r="N15" s="74">
        <f t="shared" si="4"/>
        <v>1662.7000000000003</v>
      </c>
      <c r="O15" s="74">
        <f t="shared" si="4"/>
        <v>116.69</v>
      </c>
      <c r="P15" s="77">
        <f t="shared" si="4"/>
        <v>0</v>
      </c>
      <c r="Q15" s="65">
        <f t="shared" si="4"/>
        <v>25858.190000000002</v>
      </c>
      <c r="R15" s="66">
        <f t="shared" si="4"/>
        <v>3925.01</v>
      </c>
      <c r="S15" s="23">
        <f>SUM(S4:S13)+P16</f>
        <v>32253.829999999998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5.75">
      <c r="A16" s="24"/>
      <c r="B16" s="24"/>
      <c r="C16" s="24"/>
      <c r="D16" s="482"/>
      <c r="E16" s="478"/>
      <c r="F16" s="478"/>
      <c r="G16" s="478"/>
      <c r="H16" s="478"/>
      <c r="I16" s="478"/>
      <c r="J16" s="478"/>
      <c r="K16" s="478"/>
      <c r="L16" s="24"/>
      <c r="M16" s="25"/>
      <c r="N16" s="25"/>
      <c r="O16" s="67" t="s">
        <v>13</v>
      </c>
      <c r="P16" s="11">
        <f>P15*1%</f>
        <v>0</v>
      </c>
      <c r="Q16" s="24"/>
      <c r="R16" s="24"/>
      <c r="S16" s="2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15.75">
      <c r="A17" s="24"/>
      <c r="B17" s="24"/>
      <c r="C17" s="24"/>
      <c r="D17" s="61"/>
      <c r="E17" s="61"/>
      <c r="F17" s="61"/>
      <c r="G17" s="24"/>
      <c r="H17" s="24"/>
      <c r="I17" s="27"/>
      <c r="J17" s="24"/>
      <c r="K17" s="24"/>
      <c r="L17" s="24"/>
      <c r="M17" s="25"/>
      <c r="N17" s="25"/>
      <c r="O17" s="25"/>
      <c r="P17" s="68">
        <f>P15+P16</f>
        <v>0</v>
      </c>
      <c r="Q17" s="28"/>
      <c r="R17" s="29"/>
      <c r="S17" s="69" t="s">
        <v>46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>
      <c r="A18" s="24"/>
      <c r="B18" s="24"/>
      <c r="C18" s="24"/>
      <c r="D18" s="483"/>
      <c r="E18" s="478"/>
      <c r="F18" s="478"/>
      <c r="G18" s="478"/>
      <c r="H18" s="478"/>
      <c r="I18" s="478"/>
      <c r="J18" s="478"/>
      <c r="K18" s="478"/>
      <c r="L18" s="24"/>
      <c r="M18" s="25"/>
      <c r="N18" s="25"/>
      <c r="O18" s="25"/>
      <c r="P18" s="11"/>
      <c r="Q18" s="4" t="s">
        <v>25</v>
      </c>
      <c r="R18" s="70">
        <f>M15+N15+O15+P17+Q15+R15</f>
        <v>32253.83</v>
      </c>
      <c r="S18" s="34">
        <f>S15-R18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15.75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67" t="s">
        <v>13</v>
      </c>
      <c r="P19" s="11" t="s">
        <v>47</v>
      </c>
      <c r="Q19" s="4"/>
      <c r="R19" s="5"/>
      <c r="S19" s="5"/>
    </row>
    <row r="20" spans="1:37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1:37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1:37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7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7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</row>
    <row r="26" spans="1:37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</row>
    <row r="27" spans="1:37" ht="15.75" customHeight="1">
      <c r="C27" s="1"/>
      <c r="I27" s="2"/>
      <c r="J27" s="40"/>
      <c r="K27" s="40"/>
      <c r="L27" s="40"/>
      <c r="M27" s="3"/>
      <c r="N27" s="3"/>
      <c r="O27" s="3"/>
      <c r="P27" s="11"/>
    </row>
    <row r="28" spans="1:37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71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24"/>
    </row>
    <row r="31" spans="1:37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24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/>
    <row r="112" spans="3:19" ht="15.75" customHeight="1"/>
    <row r="113" spans="3:19" ht="15.75" customHeight="1"/>
    <row r="114" spans="3:19" ht="15.75" customHeight="1"/>
    <row r="115" spans="3:19" ht="15.75" customHeight="1"/>
    <row r="116" spans="3:19" ht="15.75" customHeight="1"/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0"/>
      <c r="K999" s="40"/>
      <c r="L999" s="40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0"/>
      <c r="K1000" s="40"/>
      <c r="L1000" s="40"/>
      <c r="M1000" s="3"/>
      <c r="N1000" s="3"/>
      <c r="O1000" s="3"/>
      <c r="Q1000" s="4"/>
      <c r="R1000" s="5"/>
      <c r="S1000" s="5"/>
    </row>
    <row r="1001" spans="3:19" ht="15.75" customHeight="1">
      <c r="C1001" s="1"/>
      <c r="I1001" s="2"/>
      <c r="J1001" s="40"/>
      <c r="K1001" s="40"/>
      <c r="L1001" s="40"/>
      <c r="M1001" s="3"/>
      <c r="N1001" s="3"/>
      <c r="O1001" s="3"/>
      <c r="Q1001" s="4"/>
      <c r="R1001" s="5"/>
      <c r="S1001" s="5"/>
    </row>
    <row r="1002" spans="3:19" ht="15.75" customHeight="1">
      <c r="C1002" s="1"/>
      <c r="I1002" s="2"/>
      <c r="J1002" s="40"/>
      <c r="K1002" s="40"/>
      <c r="L1002" s="40"/>
      <c r="M1002" s="3"/>
      <c r="N1002" s="3"/>
      <c r="O1002" s="3"/>
      <c r="Q1002" s="4"/>
      <c r="R1002" s="5"/>
      <c r="S1002" s="5"/>
    </row>
    <row r="1003" spans="3:19" ht="15.75" customHeight="1">
      <c r="C1003" s="1"/>
      <c r="I1003" s="2"/>
      <c r="J1003" s="40"/>
      <c r="K1003" s="40"/>
      <c r="L1003" s="40"/>
      <c r="M1003" s="3"/>
      <c r="N1003" s="3"/>
      <c r="O1003" s="3"/>
      <c r="Q1003" s="4"/>
      <c r="R1003" s="5"/>
      <c r="S1003" s="5"/>
    </row>
    <row r="1004" spans="3:19" ht="15.75" customHeight="1">
      <c r="C1004" s="1"/>
      <c r="I1004" s="2"/>
      <c r="J1004" s="40"/>
      <c r="K1004" s="40"/>
      <c r="L1004" s="40"/>
      <c r="M1004" s="3"/>
      <c r="N1004" s="3"/>
      <c r="O1004" s="3"/>
      <c r="Q1004" s="4"/>
      <c r="R1004" s="5"/>
      <c r="S1004" s="5"/>
    </row>
    <row r="1005" spans="3:19" ht="15.75" customHeight="1">
      <c r="C1005" s="1"/>
      <c r="I1005" s="2"/>
      <c r="J1005" s="40"/>
      <c r="K1005" s="40"/>
      <c r="L1005" s="40"/>
      <c r="M1005" s="3"/>
      <c r="N1005" s="3"/>
      <c r="O1005" s="3"/>
      <c r="Q1005" s="4"/>
      <c r="R1005" s="5"/>
      <c r="S1005" s="5"/>
    </row>
    <row r="1006" spans="3:19" ht="15.75" customHeight="1">
      <c r="C1006" s="1"/>
      <c r="I1006" s="2"/>
      <c r="J1006" s="40"/>
      <c r="K1006" s="40"/>
      <c r="L1006" s="40"/>
      <c r="M1006" s="3"/>
      <c r="N1006" s="3"/>
      <c r="O1006" s="3"/>
      <c r="Q1006" s="4"/>
      <c r="R1006" s="5"/>
      <c r="S1006" s="5"/>
    </row>
  </sheetData>
  <sheetProtection password="CC27" sheet="1" objects="1" scenarios="1"/>
  <mergeCells count="6">
    <mergeCell ref="D18:K18"/>
    <mergeCell ref="B1:S1"/>
    <mergeCell ref="M2:O2"/>
    <mergeCell ref="Q2:S2"/>
    <mergeCell ref="J3:L3"/>
    <mergeCell ref="D16:K16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9"/>
  <sheetViews>
    <sheetView workbookViewId="0">
      <selection activeCell="E10" sqref="E1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5.375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41"/>
      <c r="B1" s="484" t="s">
        <v>56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78"/>
      <c r="C2" s="78"/>
      <c r="D2" s="78"/>
      <c r="E2" s="78"/>
      <c r="F2" s="199"/>
      <c r="G2" s="78"/>
      <c r="H2" s="78"/>
      <c r="I2" s="78"/>
      <c r="J2" s="78"/>
      <c r="K2" s="78"/>
      <c r="L2" s="79"/>
      <c r="M2" s="486" t="s">
        <v>0</v>
      </c>
      <c r="N2" s="487"/>
      <c r="O2" s="488"/>
      <c r="P2" s="42" t="s">
        <v>32</v>
      </c>
      <c r="Q2" s="489" t="s">
        <v>33</v>
      </c>
      <c r="R2" s="487"/>
      <c r="S2" s="48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82" t="s">
        <v>34</v>
      </c>
      <c r="C3" s="81" t="s">
        <v>35</v>
      </c>
      <c r="D3" s="107" t="s">
        <v>36</v>
      </c>
      <c r="E3" s="82" t="s">
        <v>37</v>
      </c>
      <c r="F3" s="82" t="s">
        <v>38</v>
      </c>
      <c r="G3" s="83" t="s">
        <v>39</v>
      </c>
      <c r="H3" s="82" t="s">
        <v>40</v>
      </c>
      <c r="I3" s="82" t="s">
        <v>41</v>
      </c>
      <c r="J3" s="490" t="s">
        <v>42</v>
      </c>
      <c r="K3" s="480"/>
      <c r="L3" s="481"/>
      <c r="M3" s="84" t="s">
        <v>4</v>
      </c>
      <c r="N3" s="85" t="s">
        <v>5</v>
      </c>
      <c r="O3" s="86" t="s">
        <v>6</v>
      </c>
      <c r="P3" s="86" t="s">
        <v>4</v>
      </c>
      <c r="Q3" s="108" t="s">
        <v>8</v>
      </c>
      <c r="R3" s="87" t="s">
        <v>9</v>
      </c>
      <c r="S3" s="88" t="s">
        <v>44</v>
      </c>
    </row>
    <row r="4" spans="1:37" ht="34.5" customHeight="1">
      <c r="A4" s="10"/>
      <c r="B4" s="109">
        <v>1</v>
      </c>
      <c r="C4" s="110" t="s">
        <v>159</v>
      </c>
      <c r="D4" s="416" t="s">
        <v>165</v>
      </c>
      <c r="E4" s="417" t="s">
        <v>249</v>
      </c>
      <c r="F4" s="418" t="s">
        <v>166</v>
      </c>
      <c r="G4" s="419" t="s">
        <v>167</v>
      </c>
      <c r="H4" s="113" t="str">
        <f t="shared" ref="H4:H9" si="0">UPPER(G4)</f>
        <v>PARTICIPAÇÃO. NO 18 TH CONGRESS OF THE REHABILITATION AND TRANSPLANT ASSOCIATION ( CIRTA XVIII )</v>
      </c>
      <c r="I4" s="114" t="s">
        <v>177</v>
      </c>
      <c r="J4" s="362" t="s">
        <v>178</v>
      </c>
      <c r="K4" s="425">
        <v>28</v>
      </c>
      <c r="L4" s="426">
        <v>5</v>
      </c>
      <c r="M4" s="363">
        <v>0</v>
      </c>
      <c r="N4" s="363">
        <v>0</v>
      </c>
      <c r="O4" s="429">
        <v>0</v>
      </c>
      <c r="P4" s="118"/>
      <c r="Q4" s="378">
        <v>7696.08</v>
      </c>
      <c r="R4" s="379">
        <v>6348.16</v>
      </c>
      <c r="S4" s="120">
        <f t="shared" ref="S4:S9" si="1">M4+N4+O4+P4+Q4+R4</f>
        <v>14044.24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409" customFormat="1" ht="38.25" customHeight="1">
      <c r="A5" s="10"/>
      <c r="B5" s="182">
        <v>2</v>
      </c>
      <c r="C5" s="99" t="s">
        <v>160</v>
      </c>
      <c r="D5" s="412" t="s">
        <v>168</v>
      </c>
      <c r="E5" s="413" t="s">
        <v>250</v>
      </c>
      <c r="F5" s="414" t="s">
        <v>166</v>
      </c>
      <c r="G5" s="411" t="s">
        <v>167</v>
      </c>
      <c r="H5" s="46" t="str">
        <f t="shared" si="0"/>
        <v>PARTICIPAÇÃO. NO 18 TH CONGRESS OF THE REHABILITATION AND TRANSPLANT ASSOCIATION ( CIRTA XVIII )</v>
      </c>
      <c r="I5" s="103" t="s">
        <v>177</v>
      </c>
      <c r="J5" s="334" t="s">
        <v>178</v>
      </c>
      <c r="K5" s="400">
        <v>29</v>
      </c>
      <c r="L5" s="401">
        <v>5</v>
      </c>
      <c r="M5" s="356">
        <v>0</v>
      </c>
      <c r="N5" s="356">
        <v>0</v>
      </c>
      <c r="O5" s="430">
        <v>0</v>
      </c>
      <c r="P5" s="258"/>
      <c r="Q5" s="357">
        <v>0</v>
      </c>
      <c r="R5" s="336">
        <v>6348.16</v>
      </c>
      <c r="S5" s="122">
        <f t="shared" si="1"/>
        <v>6348.16</v>
      </c>
      <c r="T5" s="402" t="s">
        <v>158</v>
      </c>
      <c r="U5" s="402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409" customFormat="1" ht="36.75" customHeight="1">
      <c r="A6" s="10"/>
      <c r="B6" s="182">
        <v>3</v>
      </c>
      <c r="C6" s="99" t="s">
        <v>161</v>
      </c>
      <c r="D6" s="412" t="s">
        <v>169</v>
      </c>
      <c r="E6" s="413" t="s">
        <v>251</v>
      </c>
      <c r="F6" s="414" t="s">
        <v>170</v>
      </c>
      <c r="G6" s="411" t="s">
        <v>167</v>
      </c>
      <c r="H6" s="46" t="str">
        <f t="shared" si="0"/>
        <v>PARTICIPAÇÃO. NO 18 TH CONGRESS OF THE REHABILITATION AND TRANSPLANT ASSOCIATION ( CIRTA XVIII )</v>
      </c>
      <c r="I6" s="103" t="s">
        <v>177</v>
      </c>
      <c r="J6" s="334" t="s">
        <v>178</v>
      </c>
      <c r="K6" s="400">
        <v>28</v>
      </c>
      <c r="L6" s="401">
        <v>5</v>
      </c>
      <c r="M6" s="356">
        <v>0</v>
      </c>
      <c r="N6" s="356">
        <v>0</v>
      </c>
      <c r="O6" s="430">
        <v>0</v>
      </c>
      <c r="P6" s="258"/>
      <c r="Q6" s="357">
        <v>7696.08</v>
      </c>
      <c r="R6" s="336">
        <v>6348.16</v>
      </c>
      <c r="S6" s="122">
        <f t="shared" si="1"/>
        <v>14044.24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409" customFormat="1" ht="59.25" customHeight="1">
      <c r="A7" s="10"/>
      <c r="B7" s="182">
        <v>4</v>
      </c>
      <c r="C7" s="99" t="s">
        <v>162</v>
      </c>
      <c r="D7" s="412" t="s">
        <v>171</v>
      </c>
      <c r="E7" s="415" t="s">
        <v>252</v>
      </c>
      <c r="F7" s="414" t="s">
        <v>172</v>
      </c>
      <c r="G7" s="153" t="s">
        <v>173</v>
      </c>
      <c r="H7" s="46" t="str">
        <f t="shared" si="0"/>
        <v>CAPACITAÇÃO DISPOSITIVO CARDÍACO HEARTMATE PARA PROFISSIONAIS DE SAÚDE DO HOSPITAL IVAN GOULART (SÃO BORJA/RS), DISPOSITIVO INSTALADO EM 23/03/2023 NO PACIENTE RAMP (PRONT. 6168926).</v>
      </c>
      <c r="I7" s="103" t="s">
        <v>179</v>
      </c>
      <c r="J7" s="424">
        <v>45078</v>
      </c>
      <c r="K7" s="400">
        <v>29</v>
      </c>
      <c r="L7" s="401">
        <v>30</v>
      </c>
      <c r="M7" s="356">
        <v>709.6</v>
      </c>
      <c r="N7" s="356">
        <v>57.9</v>
      </c>
      <c r="O7" s="430">
        <v>0</v>
      </c>
      <c r="P7" s="258"/>
      <c r="Q7" s="357">
        <v>0</v>
      </c>
      <c r="R7" s="336">
        <v>0</v>
      </c>
      <c r="S7" s="122">
        <f t="shared" si="1"/>
        <v>767.5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58.5" customHeight="1">
      <c r="A8" s="10"/>
      <c r="B8" s="121">
        <v>5</v>
      </c>
      <c r="C8" s="99" t="s">
        <v>163</v>
      </c>
      <c r="D8" s="412" t="s">
        <v>174</v>
      </c>
      <c r="E8" s="415" t="s">
        <v>253</v>
      </c>
      <c r="F8" s="414" t="s">
        <v>172</v>
      </c>
      <c r="G8" s="411" t="s">
        <v>173</v>
      </c>
      <c r="H8" s="46" t="str">
        <f t="shared" si="0"/>
        <v>CAPACITAÇÃO DISPOSITIVO CARDÍACO HEARTMATE PARA PROFISSIONAIS DE SAÚDE DO HOSPITAL IVAN GOULART (SÃO BORJA/RS), DISPOSITIVO INSTALADO EM 23/03/2023 NO PACIENTE RAMP (PRONT. 6168926).</v>
      </c>
      <c r="I8" s="103" t="s">
        <v>179</v>
      </c>
      <c r="J8" s="424">
        <v>45078</v>
      </c>
      <c r="K8" s="400">
        <v>29</v>
      </c>
      <c r="L8" s="401">
        <v>30</v>
      </c>
      <c r="M8" s="356">
        <v>734.58</v>
      </c>
      <c r="N8" s="356">
        <v>43.29</v>
      </c>
      <c r="O8" s="431">
        <v>0</v>
      </c>
      <c r="P8" s="50"/>
      <c r="Q8" s="357">
        <v>0</v>
      </c>
      <c r="R8" s="336">
        <v>0</v>
      </c>
      <c r="S8" s="122">
        <f t="shared" si="1"/>
        <v>777.87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58.5" customHeight="1" thickBot="1">
      <c r="A9" s="10"/>
      <c r="B9" s="179">
        <v>6</v>
      </c>
      <c r="C9" s="198" t="s">
        <v>164</v>
      </c>
      <c r="D9" s="423" t="s">
        <v>175</v>
      </c>
      <c r="E9" s="420" t="s">
        <v>254</v>
      </c>
      <c r="F9" s="421" t="s">
        <v>176</v>
      </c>
      <c r="G9" s="422" t="s">
        <v>173</v>
      </c>
      <c r="H9" s="126" t="str">
        <f t="shared" si="0"/>
        <v>CAPACITAÇÃO DISPOSITIVO CARDÍACO HEARTMATE PARA PROFISSIONAIS DE SAÚDE DO HOSPITAL IVAN GOULART (SÃO BORJA/RS), DISPOSITIVO INSTALADO EM 23/03/2023 NO PACIENTE RAMP (PRONT. 6168926).</v>
      </c>
      <c r="I9" s="127" t="s">
        <v>179</v>
      </c>
      <c r="J9" s="427">
        <v>45078</v>
      </c>
      <c r="K9" s="407">
        <v>29</v>
      </c>
      <c r="L9" s="408">
        <v>30</v>
      </c>
      <c r="M9" s="369">
        <v>646.25</v>
      </c>
      <c r="N9" s="369">
        <v>48.21</v>
      </c>
      <c r="O9" s="432">
        <v>0</v>
      </c>
      <c r="P9" s="156"/>
      <c r="Q9" s="371">
        <v>0</v>
      </c>
      <c r="R9" s="372">
        <v>0</v>
      </c>
      <c r="S9" s="135">
        <f t="shared" si="1"/>
        <v>694.46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15.75" customHeight="1" thickBot="1">
      <c r="A10" s="10"/>
      <c r="B10" s="14"/>
      <c r="C10" s="15"/>
      <c r="D10" s="16"/>
      <c r="E10" s="16"/>
      <c r="F10" s="16"/>
      <c r="G10" s="16"/>
      <c r="H10" s="16"/>
      <c r="I10" s="16"/>
      <c r="J10" s="57"/>
      <c r="K10" s="58"/>
      <c r="L10" s="58"/>
      <c r="M10" s="17"/>
      <c r="N10" s="17"/>
      <c r="O10" s="17"/>
      <c r="P10" s="11"/>
      <c r="Q10" s="18"/>
      <c r="R10" s="19"/>
      <c r="S10" s="2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15.75" customHeight="1">
      <c r="A11" s="21"/>
      <c r="B11" s="59" t="s">
        <v>13</v>
      </c>
      <c r="C11" s="61"/>
      <c r="D11" s="60" t="s">
        <v>45</v>
      </c>
      <c r="E11" s="61"/>
      <c r="F11" s="21"/>
      <c r="G11" s="21"/>
      <c r="H11" s="21"/>
      <c r="I11" s="62"/>
      <c r="J11" s="21"/>
      <c r="K11" s="14"/>
      <c r="L11" s="21"/>
      <c r="M11" s="74">
        <f t="shared" ref="M11:R11" si="2">SUM(M4:M9)</f>
        <v>2090.4300000000003</v>
      </c>
      <c r="N11" s="74">
        <f t="shared" si="2"/>
        <v>149.4</v>
      </c>
      <c r="O11" s="74">
        <f t="shared" si="2"/>
        <v>0</v>
      </c>
      <c r="P11" s="77">
        <f t="shared" si="2"/>
        <v>0</v>
      </c>
      <c r="Q11" s="65">
        <f t="shared" si="2"/>
        <v>15392.16</v>
      </c>
      <c r="R11" s="66">
        <f t="shared" si="2"/>
        <v>19044.48</v>
      </c>
      <c r="S11" s="23">
        <f>SUM(S4:S9)+P12</f>
        <v>36676.47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5.75" customHeight="1">
      <c r="A12" s="24"/>
      <c r="B12" s="24"/>
      <c r="C12" s="61"/>
      <c r="D12" s="482"/>
      <c r="E12" s="478"/>
      <c r="F12" s="478"/>
      <c r="G12" s="478"/>
      <c r="H12" s="478"/>
      <c r="I12" s="478"/>
      <c r="J12" s="478"/>
      <c r="K12" s="478"/>
      <c r="L12" s="24"/>
      <c r="M12" s="25"/>
      <c r="N12" s="25"/>
      <c r="O12" s="67" t="s">
        <v>13</v>
      </c>
      <c r="P12" s="11">
        <f>P11*1%</f>
        <v>0</v>
      </c>
      <c r="Q12" s="24"/>
      <c r="R12" s="24"/>
      <c r="S12" s="2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A13" s="24"/>
      <c r="B13" s="24"/>
      <c r="C13" s="24"/>
      <c r="D13" s="24"/>
      <c r="E13" s="24"/>
      <c r="F13" s="24"/>
      <c r="G13" s="24"/>
      <c r="H13" s="24"/>
      <c r="I13" s="27"/>
      <c r="J13" s="24"/>
      <c r="K13" s="24"/>
      <c r="L13" s="24"/>
      <c r="M13" s="25"/>
      <c r="N13" s="25"/>
      <c r="O13" s="25"/>
      <c r="P13" s="68">
        <f>P11+P12</f>
        <v>0</v>
      </c>
      <c r="Q13" s="28"/>
      <c r="R13" s="29"/>
      <c r="S13" s="69" t="s">
        <v>46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5.75" customHeight="1">
      <c r="A14" s="24"/>
      <c r="B14" s="24"/>
      <c r="C14" s="61"/>
      <c r="D14" s="483"/>
      <c r="E14" s="478"/>
      <c r="F14" s="478"/>
      <c r="G14" s="478"/>
      <c r="H14" s="478"/>
      <c r="I14" s="478"/>
      <c r="J14" s="478"/>
      <c r="K14" s="478"/>
      <c r="L14" s="24"/>
      <c r="M14" s="25"/>
      <c r="N14" s="25"/>
      <c r="O14" s="25"/>
      <c r="P14" s="11"/>
      <c r="Q14" s="4" t="s">
        <v>25</v>
      </c>
      <c r="R14" s="70">
        <f>M11+N11+O11+P13+Q11+R11</f>
        <v>36676.47</v>
      </c>
      <c r="S14" s="34">
        <f>S11-R14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67" t="s">
        <v>13</v>
      </c>
      <c r="P15" s="11" t="s">
        <v>47</v>
      </c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</row>
    <row r="22" spans="3:19" ht="15.75" customHeight="1">
      <c r="C22" s="1"/>
      <c r="I22" s="2"/>
      <c r="J22" s="40"/>
      <c r="K22" s="40"/>
      <c r="L22" s="40"/>
      <c r="M22" s="3"/>
      <c r="N22" s="3"/>
      <c r="O22" s="3"/>
      <c r="P22" s="11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71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24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/>
    <row r="111" spans="3:19" ht="15.75" customHeight="1"/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</sheetData>
  <sheetProtection password="CC27" sheet="1" objects="1" scenarios="1"/>
  <mergeCells count="6">
    <mergeCell ref="D14:K14"/>
    <mergeCell ref="B1:S1"/>
    <mergeCell ref="M2:O2"/>
    <mergeCell ref="Q2:S2"/>
    <mergeCell ref="J3:L3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E9" sqref="E9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 thickBot="1">
      <c r="A1" s="41"/>
      <c r="B1" s="484" t="s">
        <v>55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36"/>
      <c r="C2" s="136"/>
      <c r="D2" s="136"/>
      <c r="E2" s="136"/>
      <c r="F2" s="200"/>
      <c r="G2" s="136"/>
      <c r="H2" s="136"/>
      <c r="I2" s="136"/>
      <c r="J2" s="136"/>
      <c r="K2" s="136"/>
      <c r="L2" s="91"/>
      <c r="M2" s="492" t="s">
        <v>0</v>
      </c>
      <c r="N2" s="480"/>
      <c r="O2" s="481"/>
      <c r="P2" s="137" t="s">
        <v>32</v>
      </c>
      <c r="Q2" s="493" t="s">
        <v>33</v>
      </c>
      <c r="R2" s="480"/>
      <c r="S2" s="48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1.5" customHeight="1" thickBot="1">
      <c r="B3" s="278" t="s">
        <v>34</v>
      </c>
      <c r="C3" s="279" t="s">
        <v>35</v>
      </c>
      <c r="D3" s="440" t="s">
        <v>36</v>
      </c>
      <c r="E3" s="281" t="s">
        <v>37</v>
      </c>
      <c r="F3" s="281" t="s">
        <v>38</v>
      </c>
      <c r="G3" s="282" t="s">
        <v>39</v>
      </c>
      <c r="H3" s="281" t="s">
        <v>40</v>
      </c>
      <c r="I3" s="281" t="s">
        <v>41</v>
      </c>
      <c r="J3" s="497" t="s">
        <v>42</v>
      </c>
      <c r="K3" s="498"/>
      <c r="L3" s="499"/>
      <c r="M3" s="283" t="s">
        <v>4</v>
      </c>
      <c r="N3" s="284" t="s">
        <v>5</v>
      </c>
      <c r="O3" s="285" t="s">
        <v>6</v>
      </c>
      <c r="P3" s="285" t="s">
        <v>4</v>
      </c>
      <c r="Q3" s="286" t="s">
        <v>8</v>
      </c>
      <c r="R3" s="287" t="s">
        <v>9</v>
      </c>
      <c r="S3" s="288" t="s">
        <v>44</v>
      </c>
    </row>
    <row r="4" spans="1:37" ht="37.5" customHeight="1">
      <c r="A4" s="10"/>
      <c r="B4" s="109">
        <v>1</v>
      </c>
      <c r="C4" s="110" t="s">
        <v>185</v>
      </c>
      <c r="D4" s="416" t="s">
        <v>186</v>
      </c>
      <c r="E4" s="417" t="s">
        <v>255</v>
      </c>
      <c r="F4" s="111" t="s">
        <v>187</v>
      </c>
      <c r="G4" s="170" t="s">
        <v>188</v>
      </c>
      <c r="H4" s="297" t="str">
        <f t="shared" ref="H4:H13" si="0">UPPER(G4)</f>
        <v>PARTICIPAÇÃO NO GAPH - GESTÃO DE ALTA PERFORMANCE HOSPITALAR - PROJETO TRANSFORMAÇÃO LAEN NOS HOSPITAIS.</v>
      </c>
      <c r="I4" s="114" t="s">
        <v>128</v>
      </c>
      <c r="J4" s="441">
        <v>45108</v>
      </c>
      <c r="K4" s="111">
        <v>5</v>
      </c>
      <c r="L4" s="116">
        <v>7</v>
      </c>
      <c r="M4" s="363">
        <v>59.91</v>
      </c>
      <c r="N4" s="363">
        <v>162</v>
      </c>
      <c r="O4" s="117"/>
      <c r="P4" s="215"/>
      <c r="Q4" s="378">
        <v>0</v>
      </c>
      <c r="R4" s="442">
        <v>0</v>
      </c>
      <c r="S4" s="299">
        <f t="shared" ref="S4:S13" si="1">M4+N4+O4+P4+Q4+R4</f>
        <v>221.91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428" customFormat="1" ht="36" customHeight="1">
      <c r="A5" s="10"/>
      <c r="B5" s="182">
        <v>2</v>
      </c>
      <c r="C5" s="99" t="s">
        <v>180</v>
      </c>
      <c r="D5" s="101" t="s">
        <v>189</v>
      </c>
      <c r="E5" s="443" t="s">
        <v>256</v>
      </c>
      <c r="F5" s="101" t="s">
        <v>190</v>
      </c>
      <c r="G5" s="411" t="s">
        <v>188</v>
      </c>
      <c r="H5" s="186" t="str">
        <f t="shared" si="0"/>
        <v>PARTICIPAÇÃO NO GAPH - GESTÃO DE ALTA PERFORMANCE HOSPITALAR - PROJETO TRANSFORMAÇÃO LAEN NOS HOSPITAIS.</v>
      </c>
      <c r="I5" s="103" t="s">
        <v>128</v>
      </c>
      <c r="J5" s="424">
        <v>45108</v>
      </c>
      <c r="K5" s="101">
        <v>5</v>
      </c>
      <c r="L5" s="105">
        <v>7</v>
      </c>
      <c r="M5" s="356">
        <v>110.83</v>
      </c>
      <c r="N5" s="356">
        <v>171</v>
      </c>
      <c r="O5" s="43"/>
      <c r="P5" s="214"/>
      <c r="Q5" s="357">
        <v>0</v>
      </c>
      <c r="R5" s="438">
        <v>0</v>
      </c>
      <c r="S5" s="183">
        <f t="shared" si="1"/>
        <v>281.83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428" customFormat="1" ht="27" customHeight="1">
      <c r="A6" s="10"/>
      <c r="B6" s="182">
        <v>3</v>
      </c>
      <c r="C6" s="99" t="s">
        <v>181</v>
      </c>
      <c r="D6" s="412" t="s">
        <v>119</v>
      </c>
      <c r="E6" s="413" t="s">
        <v>239</v>
      </c>
      <c r="F6" s="101" t="s">
        <v>120</v>
      </c>
      <c r="G6" s="433" t="s">
        <v>191</v>
      </c>
      <c r="H6" s="186" t="str">
        <f t="shared" si="0"/>
        <v>ASSEMBLEIA GERAL EXTRAORDINÁRIA Nº 031</v>
      </c>
      <c r="I6" s="103" t="s">
        <v>127</v>
      </c>
      <c r="J6" s="104">
        <v>45108</v>
      </c>
      <c r="K6" s="101">
        <v>27</v>
      </c>
      <c r="L6" s="105">
        <v>27</v>
      </c>
      <c r="M6" s="356">
        <v>122.09</v>
      </c>
      <c r="N6" s="356">
        <v>45</v>
      </c>
      <c r="O6" s="43"/>
      <c r="P6" s="214"/>
      <c r="Q6" s="437">
        <f>1986.27+831.73</f>
        <v>2818</v>
      </c>
      <c r="R6" s="438">
        <v>0</v>
      </c>
      <c r="S6" s="183">
        <f t="shared" si="1"/>
        <v>2985.09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428" customFormat="1" ht="36.75" customHeight="1">
      <c r="A7" s="10"/>
      <c r="B7" s="182">
        <v>4</v>
      </c>
      <c r="C7" s="444" t="s">
        <v>182</v>
      </c>
      <c r="D7" s="101" t="s">
        <v>192</v>
      </c>
      <c r="E7" s="434" t="s">
        <v>257</v>
      </c>
      <c r="F7" s="435" t="s">
        <v>193</v>
      </c>
      <c r="G7" s="411" t="s">
        <v>188</v>
      </c>
      <c r="H7" s="186" t="str">
        <f t="shared" si="0"/>
        <v>PARTICIPAÇÃO NO GAPH - GESTÃO DE ALTA PERFORMANCE HOSPITALAR - PROJETO TRANSFORMAÇÃO LAEN NOS HOSPITAIS.</v>
      </c>
      <c r="I7" s="103" t="s">
        <v>128</v>
      </c>
      <c r="J7" s="424">
        <v>45108</v>
      </c>
      <c r="K7" s="398">
        <v>5</v>
      </c>
      <c r="L7" s="399">
        <v>7</v>
      </c>
      <c r="M7" s="356">
        <v>69.930000000000007</v>
      </c>
      <c r="N7" s="356">
        <v>162</v>
      </c>
      <c r="O7" s="43"/>
      <c r="P7" s="214"/>
      <c r="Q7" s="437">
        <v>0</v>
      </c>
      <c r="R7" s="438">
        <v>0</v>
      </c>
      <c r="S7" s="183">
        <f t="shared" si="1"/>
        <v>231.93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428" customFormat="1" ht="27" customHeight="1">
      <c r="A8" s="10"/>
      <c r="B8" s="182">
        <v>5</v>
      </c>
      <c r="C8" s="99" t="s">
        <v>183</v>
      </c>
      <c r="D8" s="412" t="s">
        <v>194</v>
      </c>
      <c r="E8" s="413" t="s">
        <v>258</v>
      </c>
      <c r="F8" s="103" t="s">
        <v>195</v>
      </c>
      <c r="G8" s="411" t="s">
        <v>196</v>
      </c>
      <c r="H8" s="186" t="str">
        <f t="shared" si="0"/>
        <v>1º SIMPÓSIO INTERNACIONAL DE TRANSFORMAÇÃO DIGITAL NO SUS.</v>
      </c>
      <c r="I8" s="103" t="s">
        <v>128</v>
      </c>
      <c r="J8" s="334">
        <v>45145</v>
      </c>
      <c r="K8" s="101">
        <v>7</v>
      </c>
      <c r="L8" s="105">
        <v>8</v>
      </c>
      <c r="M8" s="356">
        <v>0</v>
      </c>
      <c r="N8" s="356">
        <v>0</v>
      </c>
      <c r="O8" s="43"/>
      <c r="P8" s="214"/>
      <c r="Q8" s="437">
        <v>1666.56</v>
      </c>
      <c r="R8" s="438">
        <v>0</v>
      </c>
      <c r="S8" s="183">
        <f t="shared" si="1"/>
        <v>1666.56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428" customFormat="1" ht="27" customHeight="1">
      <c r="A9" s="10"/>
      <c r="B9" s="182">
        <v>6</v>
      </c>
      <c r="C9" s="99" t="s">
        <v>183</v>
      </c>
      <c r="D9" s="101" t="s">
        <v>197</v>
      </c>
      <c r="E9" s="434" t="s">
        <v>259</v>
      </c>
      <c r="F9" s="101" t="s">
        <v>198</v>
      </c>
      <c r="G9" s="411" t="s">
        <v>196</v>
      </c>
      <c r="H9" s="186" t="str">
        <f t="shared" si="0"/>
        <v>1º SIMPÓSIO INTERNACIONAL DE TRANSFORMAÇÃO DIGITAL NO SUS.</v>
      </c>
      <c r="I9" s="103" t="s">
        <v>128</v>
      </c>
      <c r="J9" s="334">
        <v>45145</v>
      </c>
      <c r="K9" s="101">
        <v>7</v>
      </c>
      <c r="L9" s="105">
        <v>8</v>
      </c>
      <c r="M9" s="356">
        <v>0</v>
      </c>
      <c r="N9" s="356">
        <v>0</v>
      </c>
      <c r="O9" s="43"/>
      <c r="P9" s="214"/>
      <c r="Q9" s="437">
        <v>1666.56</v>
      </c>
      <c r="R9" s="438">
        <v>0</v>
      </c>
      <c r="S9" s="183">
        <f t="shared" si="1"/>
        <v>1666.56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428" customFormat="1" ht="37.5" customHeight="1">
      <c r="A10" s="10"/>
      <c r="B10" s="182">
        <v>7</v>
      </c>
      <c r="C10" s="99" t="s">
        <v>201</v>
      </c>
      <c r="D10" s="412" t="s">
        <v>78</v>
      </c>
      <c r="E10" s="413" t="s">
        <v>229</v>
      </c>
      <c r="F10" s="436" t="s">
        <v>199</v>
      </c>
      <c r="G10" s="435" t="s">
        <v>204</v>
      </c>
      <c r="H10" s="186" t="str">
        <f t="shared" si="0"/>
        <v>REUNIÃO - APRESENTAÇÃO DE PROJETO À BANCADA GAÚCHA - CÂMARA DOS DEPUTADOS (BRASÍLIA).</v>
      </c>
      <c r="I10" s="103" t="s">
        <v>206</v>
      </c>
      <c r="J10" s="104" t="s">
        <v>205</v>
      </c>
      <c r="K10" s="101">
        <v>31</v>
      </c>
      <c r="L10" s="105">
        <v>1</v>
      </c>
      <c r="M10" s="356">
        <v>0</v>
      </c>
      <c r="N10" s="356">
        <v>97</v>
      </c>
      <c r="O10" s="43"/>
      <c r="P10" s="214"/>
      <c r="Q10" s="437">
        <v>4226</v>
      </c>
      <c r="R10" s="449">
        <f>579.69+149.05</f>
        <v>728.74</v>
      </c>
      <c r="S10" s="183">
        <f t="shared" si="1"/>
        <v>5051.74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428" customFormat="1" ht="36.75" customHeight="1">
      <c r="A11" s="10"/>
      <c r="B11" s="182">
        <v>8</v>
      </c>
      <c r="C11" s="99" t="s">
        <v>202</v>
      </c>
      <c r="D11" s="412" t="s">
        <v>81</v>
      </c>
      <c r="E11" s="413" t="s">
        <v>230</v>
      </c>
      <c r="F11" s="436" t="s">
        <v>82</v>
      </c>
      <c r="G11" s="435" t="s">
        <v>204</v>
      </c>
      <c r="H11" s="186" t="str">
        <f t="shared" si="0"/>
        <v>REUNIÃO - APRESENTAÇÃO DE PROJETO À BANCADA GAÚCHA - CÂMARA DOS DEPUTADOS (BRASÍLIA).</v>
      </c>
      <c r="I11" s="103" t="s">
        <v>206</v>
      </c>
      <c r="J11" s="104" t="s">
        <v>205</v>
      </c>
      <c r="K11" s="101">
        <v>31</v>
      </c>
      <c r="L11" s="105">
        <v>1</v>
      </c>
      <c r="M11" s="356">
        <v>159.88999999999999</v>
      </c>
      <c r="N11" s="356">
        <v>97</v>
      </c>
      <c r="O11" s="43"/>
      <c r="P11" s="214"/>
      <c r="Q11" s="437">
        <v>4226</v>
      </c>
      <c r="R11" s="449">
        <f>579.69+138.6</f>
        <v>718.29000000000008</v>
      </c>
      <c r="S11" s="183">
        <f t="shared" si="1"/>
        <v>5201.18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428" customFormat="1" ht="35.25" customHeight="1">
      <c r="A12" s="10"/>
      <c r="B12" s="182">
        <v>9</v>
      </c>
      <c r="C12" s="99" t="s">
        <v>184</v>
      </c>
      <c r="D12" s="412" t="s">
        <v>200</v>
      </c>
      <c r="E12" s="413" t="s">
        <v>260</v>
      </c>
      <c r="F12" s="153" t="s">
        <v>203</v>
      </c>
      <c r="G12" s="435" t="s">
        <v>204</v>
      </c>
      <c r="H12" s="186" t="str">
        <f t="shared" si="0"/>
        <v>REUNIÃO - APRESENTAÇÃO DE PROJETO À BANCADA GAÚCHA - CÂMARA DOS DEPUTADOS (BRASÍLIA).</v>
      </c>
      <c r="I12" s="103" t="s">
        <v>206</v>
      </c>
      <c r="J12" s="104" t="s">
        <v>205</v>
      </c>
      <c r="K12" s="101">
        <v>31</v>
      </c>
      <c r="L12" s="105">
        <v>1</v>
      </c>
      <c r="M12" s="356">
        <v>80.56</v>
      </c>
      <c r="N12" s="356">
        <v>116.15</v>
      </c>
      <c r="O12" s="43"/>
      <c r="P12" s="214"/>
      <c r="Q12" s="437">
        <v>4226</v>
      </c>
      <c r="R12" s="449">
        <f>579.69+153.45</f>
        <v>733.1400000000001</v>
      </c>
      <c r="S12" s="183">
        <f t="shared" si="1"/>
        <v>5155.8500000000004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96" customFormat="1" ht="35.25" customHeight="1" thickBot="1">
      <c r="A13" s="10"/>
      <c r="B13" s="312">
        <v>10</v>
      </c>
      <c r="C13" s="198"/>
      <c r="D13" s="129" t="s">
        <v>207</v>
      </c>
      <c r="E13" s="445" t="s">
        <v>261</v>
      </c>
      <c r="F13" s="421" t="s">
        <v>208</v>
      </c>
      <c r="G13" s="422" t="s">
        <v>188</v>
      </c>
      <c r="H13" s="301" t="str">
        <f t="shared" si="0"/>
        <v>PARTICIPAÇÃO NO GAPH - GESTÃO DE ALTA PERFORMANCE HOSPITALAR - PROJETO TRANSFORMAÇÃO LAEN NOS HOSPITAIS.</v>
      </c>
      <c r="I13" s="127" t="s">
        <v>128</v>
      </c>
      <c r="J13" s="427">
        <v>45108</v>
      </c>
      <c r="K13" s="446">
        <v>5</v>
      </c>
      <c r="L13" s="447">
        <v>7</v>
      </c>
      <c r="M13" s="369">
        <v>125.02</v>
      </c>
      <c r="N13" s="369">
        <v>162</v>
      </c>
      <c r="O13" s="321"/>
      <c r="P13" s="275"/>
      <c r="Q13" s="448">
        <v>0</v>
      </c>
      <c r="R13" s="134">
        <v>0</v>
      </c>
      <c r="S13" s="303">
        <f t="shared" si="1"/>
        <v>287.02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24.75" customHeight="1" thickBot="1">
      <c r="A14" s="10"/>
      <c r="B14" s="14"/>
      <c r="C14" s="15"/>
      <c r="D14" s="16"/>
      <c r="E14" s="16"/>
      <c r="F14" s="16"/>
      <c r="G14" s="16"/>
      <c r="H14" s="16"/>
      <c r="I14" s="16"/>
      <c r="J14" s="57"/>
      <c r="K14" s="58"/>
      <c r="L14" s="58"/>
      <c r="M14" s="17"/>
      <c r="N14" s="17"/>
      <c r="O14" s="17"/>
      <c r="P14" s="11"/>
      <c r="Q14" s="18"/>
      <c r="R14" s="19"/>
      <c r="S14" s="2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 customHeight="1">
      <c r="A15" s="21"/>
      <c r="B15" s="59" t="s">
        <v>13</v>
      </c>
      <c r="C15" s="21"/>
      <c r="D15" s="60" t="s">
        <v>45</v>
      </c>
      <c r="E15" s="90"/>
      <c r="F15" s="21"/>
      <c r="G15" s="21"/>
      <c r="H15" s="21"/>
      <c r="I15" s="62"/>
      <c r="J15" s="21"/>
      <c r="K15" s="14"/>
      <c r="L15" s="21"/>
      <c r="M15" s="74">
        <f t="shared" ref="M15:R15" si="2">SUM(M4:M13)</f>
        <v>728.23</v>
      </c>
      <c r="N15" s="74">
        <f t="shared" si="2"/>
        <v>1012.15</v>
      </c>
      <c r="O15" s="74">
        <f t="shared" si="2"/>
        <v>0</v>
      </c>
      <c r="P15" s="75">
        <f t="shared" si="2"/>
        <v>0</v>
      </c>
      <c r="Q15" s="65">
        <f t="shared" si="2"/>
        <v>18829.12</v>
      </c>
      <c r="R15" s="66">
        <f t="shared" si="2"/>
        <v>2180.17</v>
      </c>
      <c r="S15" s="23">
        <f>SUM(S4:S13)+P16</f>
        <v>22749.670000000002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4.75" customHeight="1" thickBot="1">
      <c r="A16" s="24"/>
      <c r="B16" s="24"/>
      <c r="C16" s="24"/>
      <c r="D16" s="482"/>
      <c r="E16" s="478"/>
      <c r="F16" s="478"/>
      <c r="G16" s="478"/>
      <c r="H16" s="478"/>
      <c r="I16" s="478"/>
      <c r="J16" s="478"/>
      <c r="K16" s="478"/>
      <c r="L16" s="24"/>
      <c r="M16" s="25"/>
      <c r="N16" s="25"/>
      <c r="O16" s="67" t="s">
        <v>13</v>
      </c>
      <c r="P16" s="11">
        <f>P15*1%</f>
        <v>0</v>
      </c>
      <c r="Q16" s="24"/>
      <c r="R16" s="24"/>
      <c r="S16" s="2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24.75" customHeight="1" thickBot="1">
      <c r="A17" s="24"/>
      <c r="B17" s="24"/>
      <c r="C17" s="24"/>
      <c r="D17" s="24"/>
      <c r="E17" s="24"/>
      <c r="F17" s="24"/>
      <c r="G17" s="24"/>
      <c r="H17" s="274"/>
      <c r="I17" s="27"/>
      <c r="J17" s="24"/>
      <c r="K17" s="24"/>
      <c r="L17" s="24"/>
      <c r="M17" s="25"/>
      <c r="N17" s="25"/>
      <c r="O17" s="25"/>
      <c r="P17" s="68">
        <f>P15+P16</f>
        <v>0</v>
      </c>
      <c r="Q17" s="28"/>
      <c r="R17" s="29"/>
      <c r="S17" s="69" t="s">
        <v>46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24.75" customHeight="1">
      <c r="A18" s="24"/>
      <c r="B18" s="24"/>
      <c r="C18" s="24"/>
      <c r="D18" s="483"/>
      <c r="E18" s="478"/>
      <c r="F18" s="478"/>
      <c r="G18" s="478"/>
      <c r="H18" s="478"/>
      <c r="I18" s="478"/>
      <c r="J18" s="478"/>
      <c r="K18" s="478"/>
      <c r="L18" s="24"/>
      <c r="M18" s="25"/>
      <c r="N18" s="25"/>
      <c r="O18" s="25"/>
      <c r="P18" s="11"/>
      <c r="Q18" s="4" t="s">
        <v>25</v>
      </c>
      <c r="R18" s="70">
        <f>M15+N15+O15+P17+Q15+R15</f>
        <v>22749.67</v>
      </c>
      <c r="S18" s="34">
        <f>S15-R18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67" t="s">
        <v>13</v>
      </c>
      <c r="P19" s="11" t="s">
        <v>47</v>
      </c>
      <c r="Q19" s="4"/>
      <c r="R19" s="5"/>
      <c r="S19" s="5"/>
    </row>
    <row r="20" spans="1:37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1:37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1:37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7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24.75" customHeight="1">
      <c r="C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71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24"/>
      <c r="Q30" s="4"/>
      <c r="R30" s="5"/>
      <c r="S30" s="5"/>
    </row>
    <row r="31" spans="1:37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24"/>
      <c r="Q31" s="4"/>
      <c r="R31" s="5"/>
      <c r="S31" s="5"/>
    </row>
    <row r="32" spans="1:37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24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24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24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24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24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</sheetData>
  <sheetProtection algorithmName="SHA-512" hashValue="sOhlEna/30oPQlaJfYlZOJMapCPd6A6wSJfd24T18i0MQ5biWh3eXsfLo/hTnn2CF5bxVNxcq39QCAqcvEDb8A==" saltValue="aytKQ9lN0T+sALS+5SnoCQ==" spinCount="100000" sheet="1" objects="1" scenarios="1"/>
  <mergeCells count="6">
    <mergeCell ref="D18:K18"/>
    <mergeCell ref="B1:S1"/>
    <mergeCell ref="M2:O2"/>
    <mergeCell ref="Q2:S2"/>
    <mergeCell ref="J3:L3"/>
    <mergeCell ref="D16:K16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7"/>
  <sheetViews>
    <sheetView topLeftCell="B1" workbookViewId="0">
      <selection activeCell="F15" sqref="F15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28.125" customWidth="1"/>
    <col min="5" max="5" width="22.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84" t="s">
        <v>57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136"/>
      <c r="C3" s="136"/>
      <c r="D3" s="136"/>
      <c r="E3" s="136"/>
      <c r="F3" s="199"/>
      <c r="G3" s="136"/>
      <c r="H3" s="136"/>
      <c r="I3" s="136"/>
      <c r="J3" s="136"/>
      <c r="K3" s="136"/>
      <c r="L3" s="91"/>
      <c r="M3" s="492" t="s">
        <v>0</v>
      </c>
      <c r="N3" s="480"/>
      <c r="O3" s="481"/>
      <c r="P3" s="137" t="s">
        <v>32</v>
      </c>
      <c r="Q3" s="493" t="s">
        <v>33</v>
      </c>
      <c r="R3" s="480"/>
      <c r="S3" s="48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01" t="s">
        <v>34</v>
      </c>
      <c r="C4" s="188" t="s">
        <v>35</v>
      </c>
      <c r="D4" s="189" t="s">
        <v>36</v>
      </c>
      <c r="E4" s="193" t="s">
        <v>37</v>
      </c>
      <c r="F4" s="189" t="s">
        <v>38</v>
      </c>
      <c r="G4" s="190" t="s">
        <v>39</v>
      </c>
      <c r="H4" s="189" t="s">
        <v>40</v>
      </c>
      <c r="I4" s="189" t="s">
        <v>41</v>
      </c>
      <c r="J4" s="500" t="s">
        <v>42</v>
      </c>
      <c r="K4" s="495"/>
      <c r="L4" s="501"/>
      <c r="M4" s="191" t="s">
        <v>4</v>
      </c>
      <c r="N4" s="192" t="s">
        <v>5</v>
      </c>
      <c r="O4" s="193" t="s">
        <v>6</v>
      </c>
      <c r="P4" s="193" t="s">
        <v>4</v>
      </c>
      <c r="Q4" s="194" t="s">
        <v>8</v>
      </c>
      <c r="R4" s="195" t="s">
        <v>9</v>
      </c>
      <c r="S4" s="196" t="s">
        <v>44</v>
      </c>
    </row>
    <row r="5" spans="1:37" ht="22.5" customHeight="1">
      <c r="A5" s="10"/>
      <c r="B5" s="109">
        <v>1</v>
      </c>
      <c r="C5" s="451" t="s">
        <v>209</v>
      </c>
      <c r="D5" s="416" t="s">
        <v>221</v>
      </c>
      <c r="E5" s="417" t="s">
        <v>262</v>
      </c>
      <c r="F5" s="114" t="s">
        <v>222</v>
      </c>
      <c r="G5" s="170" t="s">
        <v>223</v>
      </c>
      <c r="H5" s="185" t="str">
        <f t="shared" ref="H5:H10" si="0">UPPER(G5)</f>
        <v>REUNIÃO NO INCA</v>
      </c>
      <c r="I5" s="114" t="s">
        <v>224</v>
      </c>
      <c r="J5" s="362">
        <v>45139</v>
      </c>
      <c r="K5" s="111">
        <v>4</v>
      </c>
      <c r="L5" s="116">
        <v>4</v>
      </c>
      <c r="M5" s="363">
        <v>0</v>
      </c>
      <c r="N5" s="363">
        <v>0</v>
      </c>
      <c r="O5" s="507">
        <v>0</v>
      </c>
      <c r="P5" s="363"/>
      <c r="Q5" s="378">
        <v>0</v>
      </c>
      <c r="R5" s="379">
        <v>0</v>
      </c>
      <c r="S5" s="181">
        <f t="shared" ref="S5:S10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96" customFormat="1" ht="22.5" customHeight="1">
      <c r="A6" s="10"/>
      <c r="B6" s="182">
        <v>2</v>
      </c>
      <c r="C6" s="99" t="s">
        <v>210</v>
      </c>
      <c r="D6" s="101" t="s">
        <v>197</v>
      </c>
      <c r="E6" s="443" t="s">
        <v>259</v>
      </c>
      <c r="F6" s="101" t="s">
        <v>213</v>
      </c>
      <c r="G6" s="411" t="s">
        <v>214</v>
      </c>
      <c r="H6" s="186" t="str">
        <f t="shared" si="0"/>
        <v>PARTICIPAÇÃO NA REUNIÃO DA CÂMARA TÉCNICA DE INFORMAÇÃO E INFORMÁTICA EM SAÚDE DO CONSELHO NACIONAL DE SECRETÁRIOS DE SAÚDE (CONASS), PARA APRESENTAR A COMUNIDADE AGHUSE. </v>
      </c>
      <c r="I6" s="103" t="s">
        <v>225</v>
      </c>
      <c r="J6" s="334">
        <v>45170</v>
      </c>
      <c r="K6" s="101">
        <v>11</v>
      </c>
      <c r="L6" s="105">
        <v>12</v>
      </c>
      <c r="M6" s="356">
        <f>64.65+85</f>
        <v>149.65</v>
      </c>
      <c r="N6" s="356">
        <v>104.7</v>
      </c>
      <c r="O6" s="508">
        <v>0</v>
      </c>
      <c r="P6" s="356"/>
      <c r="Q6" s="357">
        <f>2032.73+1388.31</f>
        <v>3421.04</v>
      </c>
      <c r="R6" s="336">
        <f>631.67+119.9</f>
        <v>751.56999999999994</v>
      </c>
      <c r="S6" s="183">
        <f t="shared" si="1"/>
        <v>4426.96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96" customFormat="1" ht="22.5" customHeight="1">
      <c r="A7" s="10"/>
      <c r="B7" s="182">
        <v>3</v>
      </c>
      <c r="C7" s="99" t="s">
        <v>211</v>
      </c>
      <c r="D7" s="101" t="s">
        <v>215</v>
      </c>
      <c r="E7" s="434" t="s">
        <v>258</v>
      </c>
      <c r="F7" s="103" t="s">
        <v>216</v>
      </c>
      <c r="G7" s="411" t="s">
        <v>214</v>
      </c>
      <c r="H7" s="186" t="str">
        <f t="shared" si="0"/>
        <v>PARTICIPAÇÃO NA REUNIÃO DA CÂMARA TÉCNICA DE INFORMAÇÃO E INFORMÁTICA EM SAÚDE DO CONSELHO NACIONAL DE SECRETÁRIOS DE SAÚDE (CONASS), PARA APRESENTAR A COMUNIDADE AGHUSE. </v>
      </c>
      <c r="I7" s="103" t="s">
        <v>225</v>
      </c>
      <c r="J7" s="334">
        <v>45170</v>
      </c>
      <c r="K7" s="101">
        <v>11</v>
      </c>
      <c r="L7" s="105">
        <v>12</v>
      </c>
      <c r="M7" s="356">
        <v>0</v>
      </c>
      <c r="N7" s="356">
        <v>0</v>
      </c>
      <c r="O7" s="508">
        <v>0</v>
      </c>
      <c r="P7" s="356"/>
      <c r="Q7" s="357">
        <f>2032.73+1388.31</f>
        <v>3421.04</v>
      </c>
      <c r="R7" s="336">
        <f>631.67+107.8</f>
        <v>739.46999999999991</v>
      </c>
      <c r="S7" s="183">
        <f t="shared" si="1"/>
        <v>4160.51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439" customFormat="1" ht="22.5" customHeight="1">
      <c r="A8" s="10"/>
      <c r="B8" s="182">
        <v>4</v>
      </c>
      <c r="C8" s="99"/>
      <c r="D8" s="101" t="s">
        <v>197</v>
      </c>
      <c r="E8" s="443" t="s">
        <v>259</v>
      </c>
      <c r="F8" s="101" t="s">
        <v>213</v>
      </c>
      <c r="G8" s="153" t="s">
        <v>217</v>
      </c>
      <c r="H8" s="186" t="str">
        <f t="shared" si="0"/>
        <v>PARTICIPAÇÃO1º SIMPÓSIO INTERNACIONAL DE TRANSFORMAÇÃO DIGITAL NO SUS</v>
      </c>
      <c r="I8" s="103" t="s">
        <v>128</v>
      </c>
      <c r="J8" s="334">
        <v>45200</v>
      </c>
      <c r="K8" s="101">
        <v>2</v>
      </c>
      <c r="L8" s="105">
        <v>3</v>
      </c>
      <c r="M8" s="356">
        <f>139+85</f>
        <v>224</v>
      </c>
      <c r="N8" s="356">
        <v>239.22</v>
      </c>
      <c r="O8" s="508">
        <v>0</v>
      </c>
      <c r="P8" s="356"/>
      <c r="Q8" s="357">
        <v>1380.07</v>
      </c>
      <c r="R8" s="336">
        <f>583.8+102.3</f>
        <v>686.09999999999991</v>
      </c>
      <c r="S8" s="183">
        <f t="shared" si="1"/>
        <v>2529.39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96" customFormat="1" ht="26.25" customHeight="1">
      <c r="A9" s="10"/>
      <c r="B9" s="182">
        <v>5</v>
      </c>
      <c r="C9" s="99"/>
      <c r="D9" s="101" t="s">
        <v>215</v>
      </c>
      <c r="E9" s="434" t="s">
        <v>258</v>
      </c>
      <c r="F9" s="103" t="s">
        <v>216</v>
      </c>
      <c r="G9" s="411" t="s">
        <v>217</v>
      </c>
      <c r="H9" s="186" t="str">
        <f t="shared" si="0"/>
        <v>PARTICIPAÇÃO1º SIMPÓSIO INTERNACIONAL DE TRANSFORMAÇÃO DIGITAL NO SUS</v>
      </c>
      <c r="I9" s="103" t="s">
        <v>128</v>
      </c>
      <c r="J9" s="334">
        <v>45200</v>
      </c>
      <c r="K9" s="101">
        <v>2</v>
      </c>
      <c r="L9" s="105">
        <v>3</v>
      </c>
      <c r="M9" s="356">
        <v>108.61</v>
      </c>
      <c r="N9" s="356">
        <v>180.22</v>
      </c>
      <c r="O9" s="508">
        <v>0</v>
      </c>
      <c r="P9" s="356"/>
      <c r="Q9" s="357">
        <v>1380.07</v>
      </c>
      <c r="R9" s="336">
        <f>583.8+94.6</f>
        <v>678.4</v>
      </c>
      <c r="S9" s="183">
        <f t="shared" si="1"/>
        <v>2347.2999999999997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96" customFormat="1" ht="59.25" customHeight="1" thickBot="1">
      <c r="A10" s="10"/>
      <c r="B10" s="312">
        <v>6</v>
      </c>
      <c r="C10" s="198" t="s">
        <v>212</v>
      </c>
      <c r="D10" s="129" t="s">
        <v>218</v>
      </c>
      <c r="E10" s="445" t="s">
        <v>263</v>
      </c>
      <c r="F10" s="452" t="s">
        <v>219</v>
      </c>
      <c r="G10" s="422" t="s">
        <v>220</v>
      </c>
      <c r="H10" s="301" t="str">
        <f t="shared" si="0"/>
        <v>PARTICIPAÇÃO NO XXIV CONGRESSO LATINOAMERICANO E XV CONGRESSO IBEROAMERICANO DE GASTROENTEROLOGIA, HEPATOLOGIA Y NUTRICION PEDIÁTRICA LADPGHAN 2023</v>
      </c>
      <c r="I10" s="127" t="s">
        <v>226</v>
      </c>
      <c r="J10" s="368">
        <v>45200</v>
      </c>
      <c r="K10" s="129">
        <v>24</v>
      </c>
      <c r="L10" s="130">
        <v>28</v>
      </c>
      <c r="M10" s="509"/>
      <c r="N10" s="509"/>
      <c r="O10" s="510">
        <v>0</v>
      </c>
      <c r="P10" s="369"/>
      <c r="Q10" s="371">
        <f>1379.99+1364.8</f>
        <v>2744.79</v>
      </c>
      <c r="R10" s="450"/>
      <c r="S10" s="303">
        <f t="shared" si="1"/>
        <v>2744.79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24.75" customHeight="1">
      <c r="A11" s="21"/>
      <c r="B11" s="21"/>
      <c r="C11" s="21"/>
      <c r="D11" s="21"/>
      <c r="E11" s="21"/>
      <c r="F11" s="21"/>
      <c r="G11" s="21"/>
      <c r="H11" s="21"/>
      <c r="I11" s="202"/>
      <c r="J11" s="203"/>
      <c r="K11" s="204"/>
      <c r="L11" s="205"/>
      <c r="M11" s="74">
        <f t="shared" ref="M11:R11" si="2">SUM(M5:M10)</f>
        <v>482.26</v>
      </c>
      <c r="N11" s="74">
        <f t="shared" si="2"/>
        <v>524.14</v>
      </c>
      <c r="O11" s="74">
        <f t="shared" si="2"/>
        <v>0</v>
      </c>
      <c r="P11" s="77">
        <f t="shared" si="2"/>
        <v>0</v>
      </c>
      <c r="Q11" s="92">
        <f t="shared" si="2"/>
        <v>12347.009999999998</v>
      </c>
      <c r="R11" s="93">
        <f t="shared" si="2"/>
        <v>2855.54</v>
      </c>
      <c r="S11" s="94">
        <f>SUM(S5:S10)+P12</f>
        <v>16208.95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9.5" customHeight="1" thickBot="1">
      <c r="A12" s="24"/>
      <c r="B12" s="24"/>
      <c r="C12" s="24"/>
      <c r="D12" s="482"/>
      <c r="E12" s="478"/>
      <c r="F12" s="478"/>
      <c r="G12" s="478"/>
      <c r="H12" s="478"/>
      <c r="I12" s="478"/>
      <c r="J12" s="478"/>
      <c r="K12" s="478"/>
      <c r="L12" s="24"/>
      <c r="M12" s="25"/>
      <c r="N12" s="25"/>
      <c r="O12" s="67" t="s">
        <v>13</v>
      </c>
      <c r="P12" s="11">
        <f>P11*1%</f>
        <v>0</v>
      </c>
      <c r="Q12" s="24"/>
      <c r="R12" s="24"/>
      <c r="S12" s="2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24.75" customHeight="1" thickBot="1">
      <c r="A13" s="24"/>
      <c r="B13" s="59" t="s">
        <v>13</v>
      </c>
      <c r="C13" s="21"/>
      <c r="D13" s="60" t="s">
        <v>45</v>
      </c>
      <c r="E13" s="61"/>
      <c r="F13" s="245"/>
      <c r="G13" s="61"/>
      <c r="H13" s="61"/>
      <c r="I13" s="27"/>
      <c r="J13" s="24"/>
      <c r="K13" s="24"/>
      <c r="L13" s="24"/>
      <c r="M13" s="25"/>
      <c r="N13" s="25"/>
      <c r="O13" s="25"/>
      <c r="P13" s="68">
        <f>P11+P12</f>
        <v>0</v>
      </c>
      <c r="Q13" s="28"/>
      <c r="R13" s="29"/>
      <c r="S13" s="69" t="s">
        <v>46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24.75" customHeight="1">
      <c r="A14" s="24"/>
      <c r="B14" s="24"/>
      <c r="C14" s="24"/>
      <c r="D14" s="483"/>
      <c r="E14" s="478"/>
      <c r="F14" s="478"/>
      <c r="G14" s="478"/>
      <c r="H14" s="478"/>
      <c r="I14" s="478"/>
      <c r="J14" s="478"/>
      <c r="K14" s="478"/>
      <c r="L14" s="24"/>
      <c r="M14" s="25"/>
      <c r="N14" s="25"/>
      <c r="O14" s="25"/>
      <c r="P14" s="11"/>
      <c r="Q14" s="4" t="s">
        <v>25</v>
      </c>
      <c r="R14" s="70">
        <f>M11+N11+O11+P13+Q11+R11</f>
        <v>16208.949999999997</v>
      </c>
      <c r="S14" s="34">
        <f>S11-R14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67" t="s">
        <v>13</v>
      </c>
      <c r="P15" s="11" t="s">
        <v>47</v>
      </c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71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24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</sheetData>
  <sheetProtection algorithmName="SHA-512" hashValue="fbQzUoYOXcLSI1MWjeyM+AvSR0e4PSgMEhrGT8pOx5WKdN7BA3jHD7WTvJbb4t3RI+sD2Pgn4PVFfHl5Mi0dyA==" saltValue="pIKgitp+/zn/rvbuqU6oYg==" spinCount="100000" sheet="1" objects="1" scenarios="1"/>
  <mergeCells count="6">
    <mergeCell ref="D14:K14"/>
    <mergeCell ref="B2:S2"/>
    <mergeCell ref="M3:O3"/>
    <mergeCell ref="Q3:S3"/>
    <mergeCell ref="J4:L4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5"/>
  <sheetViews>
    <sheetView workbookViewId="0">
      <selection activeCell="D16" sqref="D16:K16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84" t="s">
        <v>58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 t="s">
        <v>264</v>
      </c>
      <c r="F3" s="199"/>
      <c r="G3" s="6"/>
      <c r="H3" s="6"/>
      <c r="I3" s="6"/>
      <c r="J3" s="6"/>
      <c r="K3" s="6"/>
      <c r="L3" s="91"/>
      <c r="M3" s="502" t="s">
        <v>0</v>
      </c>
      <c r="N3" s="480"/>
      <c r="O3" s="481"/>
      <c r="P3" s="217" t="s">
        <v>32</v>
      </c>
      <c r="Q3" s="503" t="s">
        <v>33</v>
      </c>
      <c r="R3" s="480"/>
      <c r="S3" s="48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06" t="s">
        <v>34</v>
      </c>
      <c r="C4" s="207" t="s">
        <v>35</v>
      </c>
      <c r="D4" s="208" t="s">
        <v>36</v>
      </c>
      <c r="E4" s="206" t="s">
        <v>37</v>
      </c>
      <c r="F4" s="206" t="s">
        <v>38</v>
      </c>
      <c r="G4" s="209" t="s">
        <v>39</v>
      </c>
      <c r="H4" s="206" t="s">
        <v>40</v>
      </c>
      <c r="I4" s="206" t="s">
        <v>41</v>
      </c>
      <c r="J4" s="504" t="s">
        <v>42</v>
      </c>
      <c r="K4" s="480"/>
      <c r="L4" s="480"/>
      <c r="M4" s="289" t="s">
        <v>4</v>
      </c>
      <c r="N4" s="290" t="s">
        <v>5</v>
      </c>
      <c r="O4" s="291" t="s">
        <v>6</v>
      </c>
      <c r="P4" s="292" t="s">
        <v>4</v>
      </c>
      <c r="Q4" s="293" t="s">
        <v>8</v>
      </c>
      <c r="R4" s="294" t="s">
        <v>9</v>
      </c>
      <c r="S4" s="295" t="s">
        <v>44</v>
      </c>
    </row>
    <row r="5" spans="1:37" ht="22.5" customHeight="1">
      <c r="A5" s="10"/>
      <c r="B5" s="457">
        <v>1</v>
      </c>
      <c r="C5" s="110" t="s">
        <v>265</v>
      </c>
      <c r="D5" s="416" t="s">
        <v>119</v>
      </c>
      <c r="E5" s="417" t="s">
        <v>295</v>
      </c>
      <c r="F5" s="111" t="s">
        <v>120</v>
      </c>
      <c r="G5" s="472" t="s">
        <v>273</v>
      </c>
      <c r="H5" s="458" t="str">
        <f t="shared" ref="H5" si="0">UPPER(G5)</f>
        <v>ASSEMBLEIA GERAL EXTRAORDINÁRIA Nº 032</v>
      </c>
      <c r="I5" s="114" t="s">
        <v>127</v>
      </c>
      <c r="J5" s="115">
        <v>45170</v>
      </c>
      <c r="K5" s="111">
        <v>22</v>
      </c>
      <c r="L5" s="116">
        <v>22</v>
      </c>
      <c r="M5" s="363">
        <v>122.29</v>
      </c>
      <c r="N5" s="363">
        <v>43</v>
      </c>
      <c r="O5" s="298"/>
      <c r="P5" s="215">
        <v>0</v>
      </c>
      <c r="Q5" s="378">
        <v>4362.1400000000003</v>
      </c>
      <c r="R5" s="379">
        <v>0</v>
      </c>
      <c r="S5" s="464">
        <f t="shared" ref="S5:S14" si="1">M5+N5+O5+P5+Q5+R5</f>
        <v>4527.43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453" customFormat="1" ht="22.5" customHeight="1">
      <c r="A6" s="10"/>
      <c r="B6" s="459">
        <v>2</v>
      </c>
      <c r="C6" s="99" t="s">
        <v>266</v>
      </c>
      <c r="D6" s="101" t="s">
        <v>274</v>
      </c>
      <c r="E6" s="443" t="s">
        <v>296</v>
      </c>
      <c r="F6" s="467" t="s">
        <v>275</v>
      </c>
      <c r="G6" s="468" t="s">
        <v>276</v>
      </c>
      <c r="H6" s="186" t="str">
        <f t="shared" ref="H6:H14" si="2">UPPER(G6)</f>
        <v>SEMINÁRIO DE MEIO-TERMO - CAPAES/MEC</v>
      </c>
      <c r="I6" s="103" t="s">
        <v>114</v>
      </c>
      <c r="J6" s="104">
        <v>45200</v>
      </c>
      <c r="K6" s="101">
        <v>30</v>
      </c>
      <c r="L6" s="105">
        <v>31</v>
      </c>
      <c r="M6" s="456"/>
      <c r="N6" s="456"/>
      <c r="O6" s="463"/>
      <c r="P6" s="214">
        <v>0</v>
      </c>
      <c r="Q6" s="357">
        <f>1056.04+1888.41</f>
        <v>2944.45</v>
      </c>
      <c r="R6" s="410"/>
      <c r="S6" s="183">
        <f t="shared" si="1"/>
        <v>2944.45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453" customFormat="1" ht="22.5" customHeight="1">
      <c r="A7" s="10"/>
      <c r="B7" s="459">
        <v>3</v>
      </c>
      <c r="C7" s="99" t="s">
        <v>267</v>
      </c>
      <c r="D7" s="101" t="s">
        <v>277</v>
      </c>
      <c r="E7" s="434" t="s">
        <v>297</v>
      </c>
      <c r="F7" s="473" t="s">
        <v>278</v>
      </c>
      <c r="G7" s="469" t="s">
        <v>279</v>
      </c>
      <c r="H7" s="186" t="str">
        <f t="shared" si="2"/>
        <v>VISITA TÉCNICA E PALESTRA SOBRE ORÇAMENTO PÚBLICO E EXECUÇÃO ORÇAMENTÁRIA E FINANCEIRA NO HCPA</v>
      </c>
      <c r="I7" s="103" t="s">
        <v>292</v>
      </c>
      <c r="J7" s="334">
        <v>45200</v>
      </c>
      <c r="K7" s="398">
        <v>9</v>
      </c>
      <c r="L7" s="399">
        <v>10</v>
      </c>
      <c r="M7" s="356">
        <v>0</v>
      </c>
      <c r="N7" s="356">
        <v>216.8</v>
      </c>
      <c r="O7" s="463"/>
      <c r="P7" s="214">
        <v>0</v>
      </c>
      <c r="Q7" s="357">
        <v>2342.4499999999998</v>
      </c>
      <c r="R7" s="336">
        <v>284.64999999999998</v>
      </c>
      <c r="S7" s="183">
        <f t="shared" si="1"/>
        <v>2843.9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453" customFormat="1" ht="22.5" customHeight="1">
      <c r="A8" s="10"/>
      <c r="B8" s="459">
        <v>4</v>
      </c>
      <c r="C8" s="99" t="s">
        <v>268</v>
      </c>
      <c r="D8" s="101" t="s">
        <v>280</v>
      </c>
      <c r="E8" s="434" t="s">
        <v>298</v>
      </c>
      <c r="F8" s="470" t="s">
        <v>281</v>
      </c>
      <c r="G8" s="469" t="s">
        <v>279</v>
      </c>
      <c r="H8" s="186" t="str">
        <f t="shared" si="2"/>
        <v>VISITA TÉCNICA E PALESTRA SOBRE ORÇAMENTO PÚBLICO E EXECUÇÃO ORÇAMENTÁRIA E FINANCEIRA NO HCPA</v>
      </c>
      <c r="I8" s="103" t="s">
        <v>293</v>
      </c>
      <c r="J8" s="334">
        <v>45200</v>
      </c>
      <c r="K8" s="398">
        <v>9</v>
      </c>
      <c r="L8" s="399">
        <v>10</v>
      </c>
      <c r="M8" s="356">
        <v>116.13</v>
      </c>
      <c r="N8" s="356">
        <v>205.5</v>
      </c>
      <c r="O8" s="463"/>
      <c r="P8" s="214">
        <v>0</v>
      </c>
      <c r="Q8" s="512">
        <f>2046.69+2223.04</f>
        <v>4269.7299999999996</v>
      </c>
      <c r="R8" s="336">
        <v>284.64999999999998</v>
      </c>
      <c r="S8" s="183">
        <f t="shared" si="1"/>
        <v>4876.0099999999993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453" customFormat="1" ht="22.5" customHeight="1">
      <c r="A9" s="10"/>
      <c r="B9" s="459">
        <v>5</v>
      </c>
      <c r="C9" s="99" t="s">
        <v>269</v>
      </c>
      <c r="D9" s="101" t="s">
        <v>282</v>
      </c>
      <c r="E9" s="443" t="s">
        <v>299</v>
      </c>
      <c r="F9" s="471" t="s">
        <v>283</v>
      </c>
      <c r="G9" s="469" t="s">
        <v>279</v>
      </c>
      <c r="H9" s="186" t="str">
        <f t="shared" si="2"/>
        <v>VISITA TÉCNICA E PALESTRA SOBRE ORÇAMENTO PÚBLICO E EXECUÇÃO ORÇAMENTÁRIA E FINANCEIRA NO HCPA</v>
      </c>
      <c r="I9" s="103" t="s">
        <v>127</v>
      </c>
      <c r="J9" s="334">
        <v>45200</v>
      </c>
      <c r="K9" s="398">
        <v>9</v>
      </c>
      <c r="L9" s="399">
        <v>10</v>
      </c>
      <c r="M9" s="356">
        <v>0</v>
      </c>
      <c r="N9" s="356">
        <v>0</v>
      </c>
      <c r="O9" s="463"/>
      <c r="P9" s="214">
        <v>0</v>
      </c>
      <c r="Q9" s="357">
        <v>2342.4499999999998</v>
      </c>
      <c r="R9" s="336">
        <v>0</v>
      </c>
      <c r="S9" s="183">
        <f t="shared" si="1"/>
        <v>2342.4499999999998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453" customFormat="1" ht="22.5" customHeight="1">
      <c r="A10" s="10"/>
      <c r="B10" s="459">
        <v>6</v>
      </c>
      <c r="C10" s="99" t="s">
        <v>270</v>
      </c>
      <c r="D10" s="101" t="s">
        <v>83</v>
      </c>
      <c r="E10" s="434" t="s">
        <v>300</v>
      </c>
      <c r="F10" s="103" t="s">
        <v>284</v>
      </c>
      <c r="G10" s="469" t="s">
        <v>285</v>
      </c>
      <c r="H10" s="186" t="str">
        <f t="shared" si="2"/>
        <v>PARTICIPAÇÃO NO SEMINÁRIO DE MEIO TERMO - CAPES</v>
      </c>
      <c r="I10" s="103" t="s">
        <v>114</v>
      </c>
      <c r="J10" s="334">
        <v>45200</v>
      </c>
      <c r="K10" s="398">
        <v>22</v>
      </c>
      <c r="L10" s="399">
        <v>24</v>
      </c>
      <c r="M10" s="456"/>
      <c r="N10" s="456"/>
      <c r="O10" s="463"/>
      <c r="P10" s="214">
        <v>0</v>
      </c>
      <c r="Q10" s="357">
        <v>5255.45</v>
      </c>
      <c r="R10" s="410"/>
      <c r="S10" s="183">
        <f t="shared" si="1"/>
        <v>5255.45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453" customFormat="1" ht="27" customHeight="1">
      <c r="A11" s="10"/>
      <c r="B11" s="459">
        <v>7</v>
      </c>
      <c r="C11" s="99" t="s">
        <v>271</v>
      </c>
      <c r="D11" s="101" t="s">
        <v>286</v>
      </c>
      <c r="E11" s="434" t="s">
        <v>301</v>
      </c>
      <c r="F11" s="103" t="s">
        <v>287</v>
      </c>
      <c r="G11" s="153" t="s">
        <v>288</v>
      </c>
      <c r="H11" s="186" t="str">
        <f t="shared" si="2"/>
        <v>PARTICIPAÇÃO NA REBRATS PARA ATUALIZAÇÕES E REUNIÕES COM O MINISTÉRIO DA SAÚDE.</v>
      </c>
      <c r="I11" s="103" t="s">
        <v>114</v>
      </c>
      <c r="J11" s="334">
        <v>45200</v>
      </c>
      <c r="K11" s="398">
        <v>17</v>
      </c>
      <c r="L11" s="399">
        <v>20</v>
      </c>
      <c r="M11" s="356">
        <v>231.66</v>
      </c>
      <c r="N11" s="356"/>
      <c r="O11" s="463"/>
      <c r="P11" s="214">
        <v>0</v>
      </c>
      <c r="Q11" s="357">
        <v>3778.45</v>
      </c>
      <c r="R11" s="410"/>
      <c r="S11" s="183">
        <f t="shared" si="1"/>
        <v>4010.1099999999997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453" customFormat="1" ht="33" customHeight="1">
      <c r="A12" s="10"/>
      <c r="B12" s="459">
        <v>8</v>
      </c>
      <c r="C12" s="443" t="s">
        <v>272</v>
      </c>
      <c r="D12" s="101" t="s">
        <v>289</v>
      </c>
      <c r="E12" s="434" t="s">
        <v>302</v>
      </c>
      <c r="F12" s="103" t="s">
        <v>290</v>
      </c>
      <c r="G12" s="411" t="s">
        <v>291</v>
      </c>
      <c r="H12" s="186" t="str">
        <f t="shared" si="2"/>
        <v>PARTICIPAÇÃO DO FÓRUM INTERNACIONAL DE LÍDERES DE EDUCAÇÃO MÉDICA - AMÉRICA LATINA (IMELF - LA)</v>
      </c>
      <c r="I12" s="103" t="s">
        <v>294</v>
      </c>
      <c r="J12" s="334">
        <v>45231</v>
      </c>
      <c r="K12" s="398">
        <v>22</v>
      </c>
      <c r="L12" s="399">
        <v>23</v>
      </c>
      <c r="M12" s="456"/>
      <c r="N12" s="456"/>
      <c r="O12" s="463"/>
      <c r="P12" s="214">
        <v>0</v>
      </c>
      <c r="Q12" s="357">
        <f>1196.12+2575.3</f>
        <v>3771.42</v>
      </c>
      <c r="R12" s="410"/>
      <c r="S12" s="183">
        <f t="shared" si="1"/>
        <v>3771.42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453" customFormat="1" ht="22.5" customHeight="1">
      <c r="A13" s="10"/>
      <c r="B13" s="459">
        <v>9</v>
      </c>
      <c r="C13" s="511" t="s">
        <v>303</v>
      </c>
      <c r="D13" s="101" t="s">
        <v>304</v>
      </c>
      <c r="E13" s="434" t="s">
        <v>305</v>
      </c>
      <c r="F13" s="103" t="s">
        <v>306</v>
      </c>
      <c r="G13" s="411" t="s">
        <v>307</v>
      </c>
      <c r="H13" s="186" t="str">
        <f t="shared" si="2"/>
        <v>PARTICIPAÇÃO 80 ANOS DO BANCO DE LEITE HUMANO DO IFF/ FIOCRUZ 80 ANOS DE BANCOS DE LEITE HUMANO NO BRASIL</v>
      </c>
      <c r="I13" s="103" t="s">
        <v>224</v>
      </c>
      <c r="J13" s="334">
        <v>45200</v>
      </c>
      <c r="K13" s="398">
        <v>3</v>
      </c>
      <c r="L13" s="399">
        <v>4</v>
      </c>
      <c r="M13" s="356">
        <v>0</v>
      </c>
      <c r="N13" s="356">
        <v>0</v>
      </c>
      <c r="O13" s="463"/>
      <c r="P13" s="214">
        <v>0</v>
      </c>
      <c r="Q13" s="357">
        <f>2992.04+2384.2</f>
        <v>5376.24</v>
      </c>
      <c r="R13" s="336">
        <v>0</v>
      </c>
      <c r="S13" s="183">
        <f t="shared" si="1"/>
        <v>5376.24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96" customFormat="1" ht="22.5" customHeight="1" thickBot="1">
      <c r="A14" s="10"/>
      <c r="B14" s="300"/>
      <c r="C14" s="465"/>
      <c r="D14" s="474"/>
      <c r="E14" s="313"/>
      <c r="F14" s="460"/>
      <c r="G14" s="461"/>
      <c r="H14" s="462" t="str">
        <f t="shared" si="2"/>
        <v/>
      </c>
      <c r="I14" s="317"/>
      <c r="J14" s="318"/>
      <c r="K14" s="315"/>
      <c r="L14" s="319"/>
      <c r="M14" s="275"/>
      <c r="N14" s="275"/>
      <c r="O14" s="302"/>
      <c r="P14" s="275"/>
      <c r="Q14" s="133"/>
      <c r="R14" s="134"/>
      <c r="S14" s="466">
        <f t="shared" si="1"/>
        <v>0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4.75" customHeight="1">
      <c r="A15" s="21"/>
      <c r="B15" s="21"/>
      <c r="C15" s="21"/>
      <c r="D15" s="21"/>
      <c r="E15" s="21"/>
      <c r="F15" s="21"/>
      <c r="G15" s="21"/>
      <c r="H15" s="21"/>
      <c r="I15" s="62"/>
      <c r="J15" s="21"/>
      <c r="K15" s="14"/>
      <c r="L15" s="21"/>
      <c r="M15" s="74">
        <f t="shared" ref="M15:R15" si="3">SUM(M5:M14)</f>
        <v>470.08000000000004</v>
      </c>
      <c r="N15" s="74">
        <f t="shared" si="3"/>
        <v>465.3</v>
      </c>
      <c r="O15" s="74">
        <f t="shared" si="3"/>
        <v>0</v>
      </c>
      <c r="P15" s="77">
        <f t="shared" si="3"/>
        <v>0</v>
      </c>
      <c r="Q15" s="92">
        <f t="shared" si="3"/>
        <v>34442.78</v>
      </c>
      <c r="R15" s="93">
        <f t="shared" si="3"/>
        <v>569.29999999999995</v>
      </c>
      <c r="S15" s="94">
        <f>SUM(S5:S14)+P16</f>
        <v>35947.46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4.75" customHeight="1">
      <c r="A16" s="24"/>
      <c r="B16" s="24"/>
      <c r="C16" s="24"/>
      <c r="D16" s="482"/>
      <c r="E16" s="478"/>
      <c r="F16" s="478"/>
      <c r="G16" s="478"/>
      <c r="H16" s="478"/>
      <c r="I16" s="478"/>
      <c r="J16" s="478"/>
      <c r="K16" s="478"/>
      <c r="L16" s="24"/>
      <c r="M16" s="25"/>
      <c r="N16" s="25"/>
      <c r="O16" s="67" t="s">
        <v>13</v>
      </c>
      <c r="P16" s="11">
        <f>P15*1%</f>
        <v>0</v>
      </c>
      <c r="Q16" s="24"/>
      <c r="R16" s="24"/>
      <c r="S16" s="2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24.75" customHeight="1">
      <c r="A17" s="24"/>
      <c r="B17" s="24"/>
      <c r="C17" s="24"/>
      <c r="D17" s="236" t="s">
        <v>45</v>
      </c>
      <c r="E17" s="61"/>
      <c r="F17" s="61"/>
      <c r="G17" s="61"/>
      <c r="H17" s="61"/>
      <c r="I17" s="27"/>
      <c r="J17" s="24"/>
      <c r="K17" s="24"/>
      <c r="L17" s="25"/>
      <c r="M17" s="25"/>
      <c r="N17" s="25"/>
      <c r="O17" s="25"/>
      <c r="P17" s="68">
        <f>P15+P16</f>
        <v>0</v>
      </c>
      <c r="Q17" s="28"/>
      <c r="R17" s="29"/>
      <c r="S17" s="69" t="s">
        <v>46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24.75" customHeight="1">
      <c r="A18" s="24"/>
      <c r="B18" s="24"/>
      <c r="C18" s="24"/>
      <c r="D18" s="483"/>
      <c r="E18" s="478"/>
      <c r="F18" s="478"/>
      <c r="G18" s="478"/>
      <c r="H18" s="478"/>
      <c r="I18" s="478"/>
      <c r="J18" s="478"/>
      <c r="K18" s="478"/>
      <c r="L18" s="24"/>
      <c r="M18" s="25"/>
      <c r="N18" s="25"/>
      <c r="O18" s="25"/>
      <c r="P18" s="11"/>
      <c r="Q18" s="4" t="s">
        <v>25</v>
      </c>
      <c r="R18" s="70">
        <f>M15+N15+O15+P17+Q15+R15</f>
        <v>35947.46</v>
      </c>
      <c r="S18" s="34">
        <f>S15-R18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67" t="s">
        <v>13</v>
      </c>
      <c r="P19" s="11" t="s">
        <v>47</v>
      </c>
      <c r="Q19" s="4"/>
      <c r="R19" s="5"/>
      <c r="S19" s="5"/>
    </row>
    <row r="20" spans="1:37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1:37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1:37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7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24.75" customHeight="1">
      <c r="C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71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24"/>
    </row>
    <row r="31" spans="1:37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24"/>
    </row>
    <row r="32" spans="1:37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24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24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24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24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24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</sheetData>
  <sheetProtection algorithmName="SHA-512" hashValue="6SWnRiDjvFwAat04j4NnwWhc84u+eSHezwIUwXyNeYSYmRypKhVJlb8eufO79Kdijk7TZZrCtQ40A34fMQE7Dw==" saltValue="CAda5wrb2WTdH7LoSnZD6A==" spinCount="100000" sheet="1" objects="1" scenarios="1"/>
  <mergeCells count="6">
    <mergeCell ref="D18:K18"/>
    <mergeCell ref="B2:S2"/>
    <mergeCell ref="M3:O3"/>
    <mergeCell ref="Q3:S3"/>
    <mergeCell ref="J4:L4"/>
    <mergeCell ref="D16:K16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9"/>
  <sheetViews>
    <sheetView workbookViewId="0">
      <selection activeCell="B15" sqref="B15"/>
    </sheetView>
  </sheetViews>
  <sheetFormatPr defaultColWidth="12.625" defaultRowHeight="15" customHeight="1"/>
  <cols>
    <col min="1" max="1" width="2.375" style="98" customWidth="1"/>
    <col min="2" max="2" width="6.5" style="98" customWidth="1"/>
    <col min="3" max="3" width="19.875" style="98" hidden="1" customWidth="1"/>
    <col min="4" max="4" width="34" style="98" customWidth="1"/>
    <col min="5" max="5" width="18.125" style="98" customWidth="1"/>
    <col min="6" max="6" width="34" style="98" customWidth="1"/>
    <col min="7" max="7" width="34" style="98" hidden="1" customWidth="1"/>
    <col min="8" max="8" width="34" style="98" customWidth="1"/>
    <col min="9" max="9" width="22.375" style="98" customWidth="1"/>
    <col min="10" max="11" width="8" style="98" customWidth="1"/>
    <col min="12" max="12" width="8.5" style="98" customWidth="1"/>
    <col min="13" max="15" width="12.375" style="98" customWidth="1"/>
    <col min="16" max="16" width="11.875" style="98" customWidth="1"/>
    <col min="17" max="17" width="14.25" style="98" customWidth="1"/>
    <col min="18" max="18" width="13" style="98" customWidth="1"/>
    <col min="19" max="19" width="15.75" style="98" customWidth="1"/>
    <col min="20" max="37" width="7.625" style="98" customWidth="1"/>
    <col min="38" max="16384" width="12.625" style="98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84" t="s">
        <v>59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97"/>
      <c r="C3" s="97"/>
      <c r="D3" s="97"/>
      <c r="E3" s="97"/>
      <c r="F3" s="199"/>
      <c r="G3" s="97"/>
      <c r="H3" s="97"/>
      <c r="I3" s="97"/>
      <c r="J3" s="97"/>
      <c r="K3" s="97"/>
      <c r="L3" s="91"/>
      <c r="M3" s="502" t="s">
        <v>0</v>
      </c>
      <c r="N3" s="480"/>
      <c r="O3" s="481"/>
      <c r="P3" s="217" t="s">
        <v>32</v>
      </c>
      <c r="Q3" s="503" t="s">
        <v>33</v>
      </c>
      <c r="R3" s="480"/>
      <c r="S3" s="48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32" t="s">
        <v>34</v>
      </c>
      <c r="C4" s="233" t="s">
        <v>35</v>
      </c>
      <c r="D4" s="476" t="s">
        <v>36</v>
      </c>
      <c r="E4" s="234" t="s">
        <v>37</v>
      </c>
      <c r="F4" s="234" t="s">
        <v>38</v>
      </c>
      <c r="G4" s="235" t="s">
        <v>39</v>
      </c>
      <c r="H4" s="234" t="s">
        <v>40</v>
      </c>
      <c r="I4" s="234" t="s">
        <v>41</v>
      </c>
      <c r="J4" s="505" t="s">
        <v>42</v>
      </c>
      <c r="K4" s="495"/>
      <c r="L4" s="495"/>
      <c r="M4" s="219" t="s">
        <v>4</v>
      </c>
      <c r="N4" s="220" t="s">
        <v>5</v>
      </c>
      <c r="O4" s="221" t="s">
        <v>6</v>
      </c>
      <c r="P4" s="222" t="s">
        <v>4</v>
      </c>
      <c r="Q4" s="223" t="s">
        <v>8</v>
      </c>
      <c r="R4" s="224" t="s">
        <v>9</v>
      </c>
      <c r="S4" s="225" t="s">
        <v>44</v>
      </c>
    </row>
    <row r="5" spans="1:37" ht="22.5" customHeight="1">
      <c r="A5" s="10"/>
      <c r="B5" s="109">
        <v>1</v>
      </c>
      <c r="C5" s="110" t="s">
        <v>308</v>
      </c>
      <c r="D5" s="416" t="s">
        <v>83</v>
      </c>
      <c r="E5" s="417" t="s">
        <v>339</v>
      </c>
      <c r="F5" s="111" t="s">
        <v>284</v>
      </c>
      <c r="G5" s="419" t="s">
        <v>333</v>
      </c>
      <c r="H5" s="297" t="str">
        <f t="shared" ref="H5:H18" si="0">UPPER(G5)</f>
        <v>PARTICIPAR DO VI CONGRESSO DA ASSOCIAÇÃO BRASILEIRA DE HOSPITAIS UNIVERSITÁRIOS E DE ENSINO - ABRAHUE.</v>
      </c>
      <c r="I5" s="114" t="s">
        <v>128</v>
      </c>
      <c r="J5" s="362">
        <v>45231</v>
      </c>
      <c r="K5" s="520">
        <v>29</v>
      </c>
      <c r="L5" s="521">
        <v>30</v>
      </c>
      <c r="M5" s="522"/>
      <c r="N5" s="522"/>
      <c r="O5" s="513"/>
      <c r="P5" s="215">
        <v>0</v>
      </c>
      <c r="Q5" s="378">
        <v>1716.09</v>
      </c>
      <c r="R5" s="523"/>
      <c r="S5" s="299">
        <f t="shared" ref="S5:S18" si="1">M5+N5+O5+P5+Q5+R5</f>
        <v>1716.09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475" customFormat="1" ht="22.5" customHeight="1">
      <c r="A6" s="10"/>
      <c r="B6" s="182">
        <v>2</v>
      </c>
      <c r="C6" s="99" t="s">
        <v>308</v>
      </c>
      <c r="D6" s="412" t="s">
        <v>315</v>
      </c>
      <c r="E6" s="413" t="s">
        <v>340</v>
      </c>
      <c r="F6" s="411" t="s">
        <v>316</v>
      </c>
      <c r="G6" s="411" t="s">
        <v>333</v>
      </c>
      <c r="H6" s="186" t="str">
        <f t="shared" si="0"/>
        <v>PARTICIPAR DO VI CONGRESSO DA ASSOCIAÇÃO BRASILEIRA DE HOSPITAIS UNIVERSITÁRIOS E DE ENSINO - ABRAHUE.</v>
      </c>
      <c r="I6" s="103" t="s">
        <v>128</v>
      </c>
      <c r="J6" s="334">
        <v>45231</v>
      </c>
      <c r="K6" s="339">
        <v>29</v>
      </c>
      <c r="L6" s="340">
        <v>30</v>
      </c>
      <c r="M6" s="456"/>
      <c r="N6" s="456"/>
      <c r="O6" s="216"/>
      <c r="P6" s="214">
        <v>0</v>
      </c>
      <c r="Q6" s="357">
        <v>1716.09</v>
      </c>
      <c r="R6" s="410"/>
      <c r="S6" s="183">
        <f t="shared" si="1"/>
        <v>1716.09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475" customFormat="1" ht="22.5" customHeight="1">
      <c r="A7" s="10"/>
      <c r="B7" s="182">
        <v>3</v>
      </c>
      <c r="C7" s="99" t="s">
        <v>309</v>
      </c>
      <c r="D7" s="412" t="s">
        <v>317</v>
      </c>
      <c r="E7" s="413" t="s">
        <v>341</v>
      </c>
      <c r="F7" s="411" t="s">
        <v>318</v>
      </c>
      <c r="G7" s="524" t="s">
        <v>334</v>
      </c>
      <c r="H7" s="186" t="str">
        <f t="shared" si="0"/>
        <v>PARTICIPAR DO CONAHP - 2023, VISANDO ATUALIZAÇÃO DOS CONHECIMENTOS, ACOMPANHAR AS INICIATIVAS DO MERCADO EM SAÚDE SUPLEMENTAR, TECNOLOGIAS E INOVAÇÕES, ALÉM DE FORTALECER PARCERIAS PÚBLICO-PRIVADAS.</v>
      </c>
      <c r="I7" s="103" t="s">
        <v>128</v>
      </c>
      <c r="J7" s="104">
        <v>45200</v>
      </c>
      <c r="K7" s="101">
        <v>17</v>
      </c>
      <c r="L7" s="105">
        <v>19</v>
      </c>
      <c r="M7" s="356">
        <v>71.03</v>
      </c>
      <c r="N7" s="356">
        <v>384</v>
      </c>
      <c r="O7" s="216"/>
      <c r="P7" s="214">
        <v>0</v>
      </c>
      <c r="Q7" s="357">
        <f>2758.98+2779.12+370</f>
        <v>5908.1</v>
      </c>
      <c r="R7" s="336">
        <f>1428+9.5</f>
        <v>1437.5</v>
      </c>
      <c r="S7" s="183">
        <f t="shared" si="1"/>
        <v>7800.63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475" customFormat="1" ht="22.5" customHeight="1">
      <c r="A8" s="10"/>
      <c r="B8" s="182">
        <v>4</v>
      </c>
      <c r="C8" s="99" t="s">
        <v>309</v>
      </c>
      <c r="D8" s="412" t="s">
        <v>319</v>
      </c>
      <c r="E8" s="518" t="s">
        <v>342</v>
      </c>
      <c r="F8" s="411" t="s">
        <v>320</v>
      </c>
      <c r="G8" s="519" t="s">
        <v>334</v>
      </c>
      <c r="H8" s="186" t="str">
        <f t="shared" si="0"/>
        <v>PARTICIPAR DO CONAHP - 2023, VISANDO ATUALIZAÇÃO DOS CONHECIMENTOS, ACOMPANHAR AS INICIATIVAS DO MERCADO EM SAÚDE SUPLEMENTAR, TECNOLOGIAS E INOVAÇÕES, ALÉM DE FORTALECER PARCERIAS PÚBLICO-PRIVADAS.</v>
      </c>
      <c r="I8" s="103" t="s">
        <v>128</v>
      </c>
      <c r="J8" s="104">
        <v>45200</v>
      </c>
      <c r="K8" s="101">
        <v>17</v>
      </c>
      <c r="L8" s="105">
        <v>19</v>
      </c>
      <c r="M8" s="356">
        <v>197.22</v>
      </c>
      <c r="N8" s="356">
        <v>287</v>
      </c>
      <c r="O8" s="216"/>
      <c r="P8" s="214">
        <v>0</v>
      </c>
      <c r="Q8" s="357">
        <f>2758.98+2779.12</f>
        <v>5538.1</v>
      </c>
      <c r="R8" s="336">
        <f>1428+40.5</f>
        <v>1468.5</v>
      </c>
      <c r="S8" s="183">
        <f t="shared" si="1"/>
        <v>7490.8200000000006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475" customFormat="1" ht="22.5" customHeight="1">
      <c r="A9" s="10"/>
      <c r="B9" s="182">
        <v>5</v>
      </c>
      <c r="C9" s="99" t="s">
        <v>309</v>
      </c>
      <c r="D9" s="412" t="s">
        <v>321</v>
      </c>
      <c r="E9" s="518" t="s">
        <v>343</v>
      </c>
      <c r="F9" s="411" t="s">
        <v>322</v>
      </c>
      <c r="G9" s="519" t="s">
        <v>334</v>
      </c>
      <c r="H9" s="186" t="str">
        <f t="shared" si="0"/>
        <v>PARTICIPAR DO CONAHP - 2023, VISANDO ATUALIZAÇÃO DOS CONHECIMENTOS, ACOMPANHAR AS INICIATIVAS DO MERCADO EM SAÚDE SUPLEMENTAR, TECNOLOGIAS E INOVAÇÕES, ALÉM DE FORTALECER PARCERIAS PÚBLICO-PRIVADAS.</v>
      </c>
      <c r="I9" s="103" t="s">
        <v>128</v>
      </c>
      <c r="J9" s="104">
        <v>45200</v>
      </c>
      <c r="K9" s="101">
        <v>17</v>
      </c>
      <c r="L9" s="105">
        <v>19</v>
      </c>
      <c r="M9" s="356">
        <v>123.81</v>
      </c>
      <c r="N9" s="356">
        <v>320</v>
      </c>
      <c r="O9" s="216"/>
      <c r="P9" s="214">
        <v>0</v>
      </c>
      <c r="Q9" s="357">
        <f>2758.98+2779.12</f>
        <v>5538.1</v>
      </c>
      <c r="R9" s="336">
        <f>1428+62.5</f>
        <v>1490.5</v>
      </c>
      <c r="S9" s="183">
        <f t="shared" si="1"/>
        <v>7472.4100000000008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475" customFormat="1" ht="22.5" customHeight="1">
      <c r="A10" s="10"/>
      <c r="B10" s="182">
        <v>6</v>
      </c>
      <c r="C10" s="99" t="s">
        <v>310</v>
      </c>
      <c r="D10" s="101" t="s">
        <v>138</v>
      </c>
      <c r="E10" s="413" t="s">
        <v>344</v>
      </c>
      <c r="F10" s="411" t="s">
        <v>323</v>
      </c>
      <c r="G10" s="411" t="s">
        <v>335</v>
      </c>
      <c r="H10" s="186" t="str">
        <f t="shared" si="0"/>
        <v>PARTICIPAR NO 43º CONBRAL</v>
      </c>
      <c r="I10" s="103" t="s">
        <v>128</v>
      </c>
      <c r="J10" s="334">
        <v>45231</v>
      </c>
      <c r="K10" s="101">
        <v>26</v>
      </c>
      <c r="L10" s="105">
        <v>28</v>
      </c>
      <c r="M10" s="456"/>
      <c r="N10" s="456"/>
      <c r="O10" s="216"/>
      <c r="P10" s="214">
        <v>0</v>
      </c>
      <c r="Q10" s="357">
        <v>1329.06</v>
      </c>
      <c r="R10" s="410"/>
      <c r="S10" s="183">
        <f t="shared" si="1"/>
        <v>1329.06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475" customFormat="1" ht="22.5" customHeight="1">
      <c r="A11" s="10"/>
      <c r="B11" s="182">
        <v>7</v>
      </c>
      <c r="C11" s="99" t="s">
        <v>310</v>
      </c>
      <c r="D11" s="101" t="s">
        <v>324</v>
      </c>
      <c r="E11" s="413" t="s">
        <v>345</v>
      </c>
      <c r="F11" s="411" t="s">
        <v>325</v>
      </c>
      <c r="G11" s="411" t="s">
        <v>335</v>
      </c>
      <c r="H11" s="186" t="str">
        <f t="shared" si="0"/>
        <v>PARTICIPAR NO 43º CONBRAL</v>
      </c>
      <c r="I11" s="103" t="s">
        <v>128</v>
      </c>
      <c r="J11" s="334">
        <v>45231</v>
      </c>
      <c r="K11" s="101">
        <v>26</v>
      </c>
      <c r="L11" s="105">
        <v>28</v>
      </c>
      <c r="M11" s="456"/>
      <c r="N11" s="456"/>
      <c r="O11" s="216"/>
      <c r="P11" s="214">
        <v>0</v>
      </c>
      <c r="Q11" s="357">
        <v>1329.06</v>
      </c>
      <c r="R11" s="410"/>
      <c r="S11" s="183">
        <f t="shared" si="1"/>
        <v>1329.06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475" customFormat="1" ht="22.5" customHeight="1">
      <c r="A12" s="10"/>
      <c r="B12" s="182">
        <v>8</v>
      </c>
      <c r="C12" s="99" t="s">
        <v>311</v>
      </c>
      <c r="D12" s="101" t="s">
        <v>326</v>
      </c>
      <c r="E12" s="413" t="s">
        <v>346</v>
      </c>
      <c r="F12" s="411" t="s">
        <v>327</v>
      </c>
      <c r="G12" s="411" t="s">
        <v>336</v>
      </c>
      <c r="H12" s="186" t="str">
        <f t="shared" si="0"/>
        <v>TREINAMENTO PARA FACULTADOS - CENTRO INTERNACIONAL DE TREINAMENTO HCPA/AHA (AMERICAN HEART)</v>
      </c>
      <c r="I12" s="103" t="s">
        <v>128</v>
      </c>
      <c r="J12" s="104">
        <v>45200</v>
      </c>
      <c r="K12" s="101">
        <v>28</v>
      </c>
      <c r="L12" s="105">
        <v>28</v>
      </c>
      <c r="M12" s="456"/>
      <c r="N12" s="456"/>
      <c r="O12" s="216"/>
      <c r="P12" s="214">
        <v>0</v>
      </c>
      <c r="Q12" s="357">
        <v>0</v>
      </c>
      <c r="R12" s="336">
        <v>0</v>
      </c>
      <c r="S12" s="183">
        <f t="shared" si="1"/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475" customFormat="1" ht="22.5" customHeight="1">
      <c r="A13" s="10"/>
      <c r="B13" s="182">
        <v>9</v>
      </c>
      <c r="C13" s="99" t="s">
        <v>311</v>
      </c>
      <c r="D13" s="101" t="s">
        <v>328</v>
      </c>
      <c r="E13" s="413" t="s">
        <v>347</v>
      </c>
      <c r="F13" s="411" t="s">
        <v>329</v>
      </c>
      <c r="G13" s="411" t="s">
        <v>336</v>
      </c>
      <c r="H13" s="186" t="str">
        <f t="shared" si="0"/>
        <v>TREINAMENTO PARA FACULTADOS - CENTRO INTERNACIONAL DE TREINAMENTO HCPA/AHA (AMERICAN HEART)</v>
      </c>
      <c r="I13" s="103" t="s">
        <v>128</v>
      </c>
      <c r="J13" s="104">
        <v>45200</v>
      </c>
      <c r="K13" s="101">
        <v>27</v>
      </c>
      <c r="L13" s="105">
        <v>27</v>
      </c>
      <c r="M13" s="456"/>
      <c r="N13" s="456"/>
      <c r="O13" s="216"/>
      <c r="P13" s="214">
        <v>0</v>
      </c>
      <c r="Q13" s="357">
        <v>0</v>
      </c>
      <c r="R13" s="336">
        <v>0</v>
      </c>
      <c r="S13" s="183">
        <f t="shared" si="1"/>
        <v>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475" customFormat="1" ht="22.5" customHeight="1">
      <c r="A14" s="10"/>
      <c r="B14" s="182">
        <v>10</v>
      </c>
      <c r="C14" s="99" t="s">
        <v>311</v>
      </c>
      <c r="D14" s="101" t="s">
        <v>83</v>
      </c>
      <c r="E14" s="413" t="s">
        <v>348</v>
      </c>
      <c r="F14" s="101" t="s">
        <v>284</v>
      </c>
      <c r="G14" s="411" t="s">
        <v>336</v>
      </c>
      <c r="H14" s="186" t="str">
        <f t="shared" si="0"/>
        <v>TREINAMENTO PARA FACULTADOS - CENTRO INTERNACIONAL DE TREINAMENTO HCPA/AHA (AMERICAN HEART)</v>
      </c>
      <c r="I14" s="103" t="s">
        <v>128</v>
      </c>
      <c r="J14" s="104">
        <v>45200</v>
      </c>
      <c r="K14" s="101">
        <v>27</v>
      </c>
      <c r="L14" s="105">
        <v>28</v>
      </c>
      <c r="M14" s="456"/>
      <c r="N14" s="456"/>
      <c r="O14" s="216"/>
      <c r="P14" s="214">
        <v>0</v>
      </c>
      <c r="Q14" s="357">
        <v>0</v>
      </c>
      <c r="R14" s="336">
        <v>0</v>
      </c>
      <c r="S14" s="183">
        <f t="shared" si="1"/>
        <v>0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475" customFormat="1" ht="22.5" customHeight="1">
      <c r="A15" s="10"/>
      <c r="B15" s="182">
        <v>11</v>
      </c>
      <c r="C15" s="99" t="s">
        <v>312</v>
      </c>
      <c r="D15" s="101" t="s">
        <v>330</v>
      </c>
      <c r="E15" s="413" t="s">
        <v>349</v>
      </c>
      <c r="F15" s="411" t="s">
        <v>331</v>
      </c>
      <c r="G15" s="411" t="s">
        <v>337</v>
      </c>
      <c r="H15" s="186" t="str">
        <f t="shared" si="0"/>
        <v>REUNIÃO ORDINÁRIA DO CONSELHO FISCAL</v>
      </c>
      <c r="I15" s="103" t="s">
        <v>338</v>
      </c>
      <c r="J15" s="334">
        <v>45231</v>
      </c>
      <c r="K15" s="339">
        <v>23</v>
      </c>
      <c r="L15" s="340">
        <v>24</v>
      </c>
      <c r="M15" s="356"/>
      <c r="N15" s="356"/>
      <c r="O15" s="216"/>
      <c r="P15" s="214">
        <v>0</v>
      </c>
      <c r="Q15" s="357">
        <f>2090.31+1182.61</f>
        <v>3272.92</v>
      </c>
      <c r="R15" s="410"/>
      <c r="S15" s="183">
        <f t="shared" si="1"/>
        <v>3272.92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475" customFormat="1" ht="22.5" customHeight="1">
      <c r="A16" s="10"/>
      <c r="B16" s="182">
        <v>12</v>
      </c>
      <c r="C16" s="99" t="s">
        <v>313</v>
      </c>
      <c r="D16" s="101" t="s">
        <v>282</v>
      </c>
      <c r="E16" s="413" t="s">
        <v>299</v>
      </c>
      <c r="F16" s="411" t="s">
        <v>331</v>
      </c>
      <c r="G16" s="411" t="s">
        <v>337</v>
      </c>
      <c r="H16" s="186" t="str">
        <f t="shared" si="0"/>
        <v>REUNIÃO ORDINÁRIA DO CONSELHO FISCAL</v>
      </c>
      <c r="I16" s="103" t="s">
        <v>127</v>
      </c>
      <c r="J16" s="334">
        <v>45231</v>
      </c>
      <c r="K16" s="339">
        <v>23</v>
      </c>
      <c r="L16" s="340">
        <v>24</v>
      </c>
      <c r="M16" s="356">
        <v>0</v>
      </c>
      <c r="N16" s="356">
        <v>0</v>
      </c>
      <c r="O16" s="216">
        <v>0</v>
      </c>
      <c r="P16" s="214">
        <v>0</v>
      </c>
      <c r="Q16" s="357">
        <v>0</v>
      </c>
      <c r="R16" s="336">
        <v>0</v>
      </c>
      <c r="S16" s="183">
        <f t="shared" si="1"/>
        <v>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2.5" customHeight="1">
      <c r="A17" s="10"/>
      <c r="B17" s="182">
        <v>13</v>
      </c>
      <c r="C17" s="99" t="s">
        <v>314</v>
      </c>
      <c r="D17" s="101" t="s">
        <v>332</v>
      </c>
      <c r="E17" s="413" t="s">
        <v>350</v>
      </c>
      <c r="F17" s="411" t="s">
        <v>331</v>
      </c>
      <c r="G17" s="411" t="s">
        <v>337</v>
      </c>
      <c r="H17" s="186" t="str">
        <f t="shared" si="0"/>
        <v>REUNIÃO ORDINÁRIA DO CONSELHO FISCAL</v>
      </c>
      <c r="I17" s="103" t="s">
        <v>127</v>
      </c>
      <c r="J17" s="334">
        <v>45231</v>
      </c>
      <c r="K17" s="339">
        <v>23</v>
      </c>
      <c r="L17" s="340">
        <v>24</v>
      </c>
      <c r="M17" s="356"/>
      <c r="N17" s="356"/>
      <c r="O17" s="216"/>
      <c r="P17" s="214">
        <v>0</v>
      </c>
      <c r="Q17" s="357">
        <v>3899.77</v>
      </c>
      <c r="R17" s="410"/>
      <c r="S17" s="183">
        <f t="shared" si="1"/>
        <v>3899.77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2.5" customHeight="1" thickBot="1">
      <c r="A18" s="10"/>
      <c r="B18" s="312"/>
      <c r="C18" s="198"/>
      <c r="D18" s="514"/>
      <c r="E18" s="515"/>
      <c r="F18" s="127"/>
      <c r="G18" s="127"/>
      <c r="H18" s="301" t="str">
        <f t="shared" si="0"/>
        <v/>
      </c>
      <c r="I18" s="127"/>
      <c r="J18" s="128"/>
      <c r="K18" s="129"/>
      <c r="L18" s="130"/>
      <c r="M18" s="275"/>
      <c r="N18" s="275"/>
      <c r="O18" s="516"/>
      <c r="P18" s="275"/>
      <c r="Q18" s="371"/>
      <c r="R18" s="517"/>
      <c r="S18" s="178">
        <f t="shared" si="1"/>
        <v>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4.75" customHeight="1">
      <c r="A19" s="21"/>
      <c r="B19" s="21"/>
      <c r="C19" s="21"/>
      <c r="D19" s="21"/>
      <c r="E19" s="21"/>
      <c r="F19" s="21"/>
      <c r="G19" s="21"/>
      <c r="H19" s="21"/>
      <c r="I19" s="62"/>
      <c r="J19" s="21"/>
      <c r="K19" s="14"/>
      <c r="L19" s="21"/>
      <c r="M19" s="74">
        <f t="shared" ref="M19:R19" si="2">SUM(M5:M18)</f>
        <v>392.06</v>
      </c>
      <c r="N19" s="74">
        <f t="shared" si="2"/>
        <v>991</v>
      </c>
      <c r="O19" s="74">
        <f t="shared" si="2"/>
        <v>0</v>
      </c>
      <c r="P19" s="242"/>
      <c r="Q19" s="92">
        <f t="shared" si="2"/>
        <v>30247.290000000005</v>
      </c>
      <c r="R19" s="243">
        <f t="shared" si="2"/>
        <v>4396.5</v>
      </c>
      <c r="S19" s="242">
        <f>SUM(S5:S18)+P20</f>
        <v>36026.85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24.75" customHeight="1" thickBot="1">
      <c r="A20" s="24"/>
      <c r="B20" s="24"/>
      <c r="C20" s="24"/>
      <c r="D20" s="482"/>
      <c r="E20" s="478"/>
      <c r="F20" s="478"/>
      <c r="G20" s="478"/>
      <c r="H20" s="478"/>
      <c r="I20" s="478"/>
      <c r="J20" s="478"/>
      <c r="K20" s="478"/>
      <c r="L20" s="24"/>
      <c r="M20" s="25"/>
      <c r="N20" s="25"/>
      <c r="O20" s="67" t="s">
        <v>13</v>
      </c>
      <c r="P20" s="11">
        <f>P19*1%</f>
        <v>0</v>
      </c>
      <c r="Q20" s="24"/>
      <c r="R20" s="24"/>
      <c r="S20" s="29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24.75" customHeight="1" thickBot="1">
      <c r="A21" s="24"/>
      <c r="B21" s="24"/>
      <c r="C21" s="24"/>
      <c r="D21" s="236" t="s">
        <v>45</v>
      </c>
      <c r="E21" s="61"/>
      <c r="F21" s="61"/>
      <c r="G21" s="61"/>
      <c r="H21" s="61"/>
      <c r="I21" s="27"/>
      <c r="J21" s="24"/>
      <c r="K21" s="24"/>
      <c r="L21" s="25"/>
      <c r="M21" s="25"/>
      <c r="N21" s="25"/>
      <c r="O21" s="25"/>
      <c r="P21" s="68">
        <f>P19+P20</f>
        <v>0</v>
      </c>
      <c r="Q21" s="28"/>
      <c r="R21" s="29"/>
      <c r="S21" s="69" t="s">
        <v>46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ht="24.75" customHeight="1">
      <c r="A22" s="24"/>
      <c r="B22" s="24"/>
      <c r="C22" s="24"/>
      <c r="D22" s="483"/>
      <c r="E22" s="478"/>
      <c r="F22" s="478"/>
      <c r="G22" s="478"/>
      <c r="H22" s="478"/>
      <c r="I22" s="478"/>
      <c r="J22" s="478"/>
      <c r="K22" s="478"/>
      <c r="L22" s="24"/>
      <c r="M22" s="25"/>
      <c r="N22" s="25"/>
      <c r="O22" s="25"/>
      <c r="P22" s="11"/>
      <c r="Q22" s="4" t="s">
        <v>25</v>
      </c>
      <c r="R22" s="244">
        <f>M19+N19+O19+P21+Q19+R19</f>
        <v>36026.850000000006</v>
      </c>
      <c r="S22" s="34">
        <f>S19-R22</f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67" t="s">
        <v>13</v>
      </c>
      <c r="P23" s="11" t="s">
        <v>47</v>
      </c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7" ht="24.75" customHeight="1">
      <c r="C31" s="1"/>
      <c r="I31" s="2"/>
      <c r="J31" s="40"/>
      <c r="K31" s="40"/>
      <c r="L31" s="40"/>
      <c r="M31" s="3"/>
      <c r="N31" s="3"/>
      <c r="O31" s="3"/>
      <c r="P31" s="11"/>
      <c r="Q31" s="4"/>
      <c r="R31" s="5"/>
      <c r="S31" s="5"/>
    </row>
    <row r="32" spans="1:37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11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P33" s="71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24"/>
    </row>
    <row r="35" spans="3:19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P35" s="24"/>
    </row>
    <row r="36" spans="3:19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P36" s="24"/>
    </row>
    <row r="37" spans="3:19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9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9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9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9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9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9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9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9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9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9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</row>
    <row r="48" spans="3:19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</row>
    <row r="49" spans="3:15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</row>
    <row r="50" spans="3:15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5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5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5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5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5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5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5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5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5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5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5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5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5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5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24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24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24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24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24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24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24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24.75" customHeight="1">
      <c r="C100" s="1"/>
      <c r="D100" s="1"/>
      <c r="E100" s="1"/>
      <c r="F100" s="1"/>
      <c r="G100" s="1"/>
      <c r="H100" s="1"/>
      <c r="I100" s="2"/>
      <c r="J100" s="40"/>
      <c r="K100" s="40"/>
      <c r="L100" s="40"/>
    </row>
    <row r="101" spans="3:19" ht="24.75" customHeight="1">
      <c r="C101" s="1"/>
      <c r="D101" s="1"/>
      <c r="E101" s="1"/>
      <c r="F101" s="1"/>
      <c r="G101" s="1"/>
      <c r="H101" s="1"/>
      <c r="I101" s="2"/>
      <c r="J101" s="40"/>
      <c r="K101" s="40"/>
      <c r="L101" s="40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</sheetData>
  <sheetProtection algorithmName="SHA-512" hashValue="VRZdjgJzaXRRUR//d9eEw7ZpJdILJf5ljUxRJO9IkqdyA9mFhzEOQ/X34e/yLgaUNzsb6NOZuk89s+7JABVwgw==" saltValue="5eSTvxTRLErXEO1SZAGofA==" spinCount="100000" sheet="1" objects="1" scenarios="1"/>
  <mergeCells count="6">
    <mergeCell ref="D20:K20"/>
    <mergeCell ref="D22:K22"/>
    <mergeCell ref="B2:S2"/>
    <mergeCell ref="M3:O3"/>
    <mergeCell ref="Q3:S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>
      <selection activeCell="B3" sqref="B3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84" t="s">
        <v>60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36"/>
      <c r="C3" s="136"/>
      <c r="D3" s="136"/>
      <c r="E3" s="136"/>
      <c r="F3" s="199"/>
      <c r="G3" s="136"/>
      <c r="H3" s="136"/>
      <c r="I3" s="136"/>
      <c r="J3" s="136"/>
      <c r="K3" s="136"/>
      <c r="L3" s="91"/>
      <c r="M3" s="502" t="s">
        <v>0</v>
      </c>
      <c r="N3" s="480"/>
      <c r="O3" s="481"/>
      <c r="P3" s="217" t="s">
        <v>32</v>
      </c>
      <c r="Q3" s="503" t="s">
        <v>33</v>
      </c>
      <c r="R3" s="480"/>
      <c r="S3" s="48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232" t="s">
        <v>34</v>
      </c>
      <c r="C4" s="233" t="s">
        <v>35</v>
      </c>
      <c r="D4" s="234" t="s">
        <v>36</v>
      </c>
      <c r="E4" s="234" t="s">
        <v>37</v>
      </c>
      <c r="F4" s="234" t="s">
        <v>38</v>
      </c>
      <c r="G4" s="235" t="s">
        <v>39</v>
      </c>
      <c r="H4" s="234" t="s">
        <v>40</v>
      </c>
      <c r="I4" s="234" t="s">
        <v>41</v>
      </c>
      <c r="J4" s="505" t="s">
        <v>42</v>
      </c>
      <c r="K4" s="495"/>
      <c r="L4" s="501"/>
      <c r="M4" s="260" t="s">
        <v>4</v>
      </c>
      <c r="N4" s="220" t="s">
        <v>5</v>
      </c>
      <c r="O4" s="221" t="s">
        <v>6</v>
      </c>
      <c r="P4" s="222" t="s">
        <v>4</v>
      </c>
      <c r="Q4" s="223" t="s">
        <v>8</v>
      </c>
      <c r="R4" s="224" t="s">
        <v>9</v>
      </c>
      <c r="S4" s="225" t="s">
        <v>44</v>
      </c>
    </row>
    <row r="5" spans="1:36" ht="22.5" customHeight="1">
      <c r="A5" s="10"/>
      <c r="B5" s="254">
        <v>1</v>
      </c>
      <c r="C5" s="226"/>
      <c r="D5" s="227"/>
      <c r="E5" s="255"/>
      <c r="F5" s="256"/>
      <c r="G5" s="257"/>
      <c r="H5" s="180" t="str">
        <f t="shared" ref="H5:H7" si="0">UPPER(G5)</f>
        <v/>
      </c>
      <c r="I5" s="228"/>
      <c r="J5" s="229"/>
      <c r="K5" s="230"/>
      <c r="L5" s="231"/>
      <c r="M5" s="214"/>
      <c r="N5" s="214"/>
      <c r="O5" s="43"/>
      <c r="P5" s="258">
        <v>0</v>
      </c>
      <c r="Q5" s="218"/>
      <c r="R5" s="251"/>
      <c r="S5" s="259">
        <f t="shared" ref="S5:S7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>
      <c r="A6" s="10"/>
      <c r="B6" s="44">
        <v>2</v>
      </c>
      <c r="C6" s="99"/>
      <c r="D6" s="184"/>
      <c r="E6" s="252"/>
      <c r="F6" s="101"/>
      <c r="G6" s="253"/>
      <c r="H6" s="46" t="str">
        <f t="shared" si="0"/>
        <v/>
      </c>
      <c r="I6" s="103"/>
      <c r="J6" s="104"/>
      <c r="K6" s="101"/>
      <c r="L6" s="105"/>
      <c r="M6" s="214"/>
      <c r="N6" s="214"/>
      <c r="O6" s="49"/>
      <c r="P6" s="50">
        <v>0</v>
      </c>
      <c r="Q6" s="106"/>
      <c r="R6" s="251"/>
      <c r="S6" s="5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2.5" customHeight="1">
      <c r="A7" s="10"/>
      <c r="B7" s="44">
        <v>3</v>
      </c>
      <c r="C7" s="55"/>
      <c r="D7" s="54"/>
      <c r="E7" s="56"/>
      <c r="F7" s="54"/>
      <c r="G7" s="89"/>
      <c r="H7" s="46" t="str">
        <f t="shared" si="0"/>
        <v/>
      </c>
      <c r="I7" s="46"/>
      <c r="J7" s="76"/>
      <c r="K7" s="54"/>
      <c r="L7" s="54"/>
      <c r="M7" s="261"/>
      <c r="N7" s="261"/>
      <c r="O7" s="49"/>
      <c r="P7" s="50"/>
      <c r="Q7" s="51"/>
      <c r="R7" s="52"/>
      <c r="S7" s="53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.75" customHeight="1">
      <c r="A8" s="21"/>
      <c r="B8" s="21"/>
      <c r="C8" s="21"/>
      <c r="D8" s="21"/>
      <c r="E8" s="21"/>
      <c r="F8" s="21"/>
      <c r="G8" s="21"/>
      <c r="H8" s="21"/>
      <c r="I8" s="62"/>
      <c r="J8" s="21"/>
      <c r="K8" s="14"/>
      <c r="L8" s="21"/>
      <c r="M8" s="74">
        <f t="shared" ref="M8:R8" si="2">SUM(M5:M7)</f>
        <v>0</v>
      </c>
      <c r="N8" s="74">
        <f t="shared" si="2"/>
        <v>0</v>
      </c>
      <c r="O8" s="74">
        <f t="shared" si="2"/>
        <v>0</v>
      </c>
      <c r="P8" s="77">
        <f t="shared" si="2"/>
        <v>0</v>
      </c>
      <c r="Q8" s="92">
        <f t="shared" si="2"/>
        <v>0</v>
      </c>
      <c r="R8" s="93">
        <f t="shared" si="2"/>
        <v>0</v>
      </c>
      <c r="S8" s="94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24.75" customHeight="1">
      <c r="A9" s="24"/>
      <c r="B9" s="24"/>
      <c r="C9" s="24"/>
      <c r="D9" s="482"/>
      <c r="E9" s="478"/>
      <c r="F9" s="478"/>
      <c r="G9" s="478"/>
      <c r="H9" s="478"/>
      <c r="I9" s="478"/>
      <c r="J9" s="478"/>
      <c r="K9" s="478"/>
      <c r="L9" s="24"/>
      <c r="M9" s="25"/>
      <c r="N9" s="25"/>
      <c r="O9" s="67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60" t="s">
        <v>45</v>
      </c>
      <c r="E10" s="61"/>
      <c r="F10" s="61"/>
      <c r="G10" s="61"/>
      <c r="H10" s="61"/>
      <c r="I10" s="27"/>
      <c r="J10" s="24"/>
      <c r="K10" s="24"/>
      <c r="L10" s="24"/>
      <c r="M10" s="25"/>
      <c r="N10" s="25"/>
      <c r="O10" s="25"/>
      <c r="P10" s="68">
        <f>P8+P9</f>
        <v>0</v>
      </c>
      <c r="Q10" s="28"/>
      <c r="R10" s="29"/>
      <c r="S10" s="69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A11" s="24"/>
      <c r="B11" s="24"/>
      <c r="C11" s="24"/>
      <c r="D11" s="483"/>
      <c r="E11" s="478"/>
      <c r="F11" s="478"/>
      <c r="G11" s="478"/>
      <c r="H11" s="478"/>
      <c r="I11" s="478"/>
      <c r="J11" s="478"/>
      <c r="K11" s="478"/>
      <c r="L11" s="24"/>
      <c r="M11" s="25"/>
      <c r="N11" s="25"/>
      <c r="O11" s="25"/>
      <c r="P11" s="11"/>
      <c r="Q11" s="4" t="s">
        <v>25</v>
      </c>
      <c r="R11" s="70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7" t="s">
        <v>13</v>
      </c>
      <c r="P12" s="11" t="s">
        <v>47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3"/>
  <sheetViews>
    <sheetView topLeftCell="H1" workbookViewId="0">
      <selection activeCell="M16" sqref="M16"/>
    </sheetView>
  </sheetViews>
  <sheetFormatPr defaultColWidth="12.625" defaultRowHeight="14.25"/>
  <cols>
    <col min="1" max="1" width="2.375" style="272" customWidth="1"/>
    <col min="2" max="2" width="6.5" style="272" customWidth="1"/>
    <col min="3" max="3" width="19.875" style="272" hidden="1" customWidth="1"/>
    <col min="4" max="4" width="34" style="272" customWidth="1"/>
    <col min="5" max="5" width="18.125" style="272" customWidth="1"/>
    <col min="6" max="6" width="34" style="272" customWidth="1"/>
    <col min="7" max="7" width="34" style="272" hidden="1" customWidth="1"/>
    <col min="8" max="8" width="34" style="272" customWidth="1"/>
    <col min="9" max="9" width="22.375" style="272" customWidth="1"/>
    <col min="10" max="12" width="8" style="272" customWidth="1"/>
    <col min="13" max="15" width="12.375" style="272" customWidth="1"/>
    <col min="16" max="16" width="11.875" style="272" customWidth="1"/>
    <col min="17" max="17" width="14.25" style="272" customWidth="1"/>
    <col min="18" max="18" width="13" style="272" customWidth="1"/>
    <col min="19" max="19" width="15.75" style="272" customWidth="1"/>
    <col min="20" max="36" width="7.625" style="272" customWidth="1"/>
    <col min="37" max="16384" width="12.625" style="272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84" t="s">
        <v>61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36"/>
      <c r="C3" s="136"/>
      <c r="D3" s="136"/>
      <c r="E3" s="136"/>
      <c r="F3" s="200"/>
      <c r="G3" s="136"/>
      <c r="H3" s="136"/>
      <c r="I3" s="136"/>
      <c r="J3" s="136"/>
      <c r="K3" s="136"/>
      <c r="L3" s="91"/>
      <c r="M3" s="502" t="s">
        <v>0</v>
      </c>
      <c r="N3" s="480"/>
      <c r="O3" s="481"/>
      <c r="P3" s="217" t="s">
        <v>32</v>
      </c>
      <c r="Q3" s="503" t="s">
        <v>33</v>
      </c>
      <c r="R3" s="480"/>
      <c r="S3" s="48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307" t="s">
        <v>34</v>
      </c>
      <c r="C4" s="308" t="s">
        <v>35</v>
      </c>
      <c r="D4" s="309" t="s">
        <v>36</v>
      </c>
      <c r="E4" s="309" t="s">
        <v>37</v>
      </c>
      <c r="F4" s="309" t="s">
        <v>38</v>
      </c>
      <c r="G4" s="310" t="s">
        <v>39</v>
      </c>
      <c r="H4" s="309" t="s">
        <v>40</v>
      </c>
      <c r="I4" s="309" t="s">
        <v>41</v>
      </c>
      <c r="J4" s="506" t="s">
        <v>42</v>
      </c>
      <c r="K4" s="498"/>
      <c r="L4" s="499"/>
      <c r="M4" s="311" t="s">
        <v>4</v>
      </c>
      <c r="N4" s="290" t="s">
        <v>5</v>
      </c>
      <c r="O4" s="291" t="s">
        <v>6</v>
      </c>
      <c r="P4" s="292" t="s">
        <v>4</v>
      </c>
      <c r="Q4" s="293" t="s">
        <v>8</v>
      </c>
      <c r="R4" s="294" t="s">
        <v>9</v>
      </c>
      <c r="S4" s="295" t="s">
        <v>44</v>
      </c>
    </row>
    <row r="5" spans="1:36" ht="22.5" customHeight="1">
      <c r="A5" s="10"/>
      <c r="B5" s="296">
        <v>1</v>
      </c>
      <c r="C5" s="110"/>
      <c r="D5" s="197"/>
      <c r="E5" s="277"/>
      <c r="F5" s="112"/>
      <c r="G5" s="325"/>
      <c r="H5" s="297"/>
      <c r="I5" s="114"/>
      <c r="J5" s="115"/>
      <c r="K5" s="111"/>
      <c r="L5" s="116"/>
      <c r="M5" s="304"/>
      <c r="N5" s="304"/>
      <c r="O5" s="326"/>
      <c r="P5" s="327">
        <v>0</v>
      </c>
      <c r="Q5" s="119"/>
      <c r="R5" s="251"/>
      <c r="S5" s="299">
        <f t="shared" ref="S5:S6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 thickBot="1">
      <c r="A6" s="10"/>
      <c r="B6" s="312">
        <v>2</v>
      </c>
      <c r="C6" s="313"/>
      <c r="D6" s="314"/>
      <c r="E6" s="305"/>
      <c r="F6" s="315"/>
      <c r="G6" s="306"/>
      <c r="H6" s="316" t="str">
        <f t="shared" ref="H6" si="1">UPPER(G6)</f>
        <v/>
      </c>
      <c r="I6" s="317"/>
      <c r="J6" s="318"/>
      <c r="K6" s="315"/>
      <c r="L6" s="319"/>
      <c r="M6" s="320"/>
      <c r="N6" s="320"/>
      <c r="O6" s="321"/>
      <c r="P6" s="322">
        <v>0</v>
      </c>
      <c r="Q6" s="323"/>
      <c r="R6" s="324"/>
      <c r="S6" s="178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4.75" customHeight="1">
      <c r="A7" s="21"/>
      <c r="B7" s="21"/>
      <c r="C7" s="21"/>
      <c r="D7" s="21"/>
      <c r="E7" s="21"/>
      <c r="F7" s="21"/>
      <c r="G7" s="21"/>
      <c r="H7" s="21"/>
      <c r="I7" s="62"/>
      <c r="J7" s="21"/>
      <c r="K7" s="14"/>
      <c r="L7" s="21"/>
      <c r="M7" s="74">
        <f t="shared" ref="M7:R7" si="2">SUM(M5:M6)</f>
        <v>0</v>
      </c>
      <c r="N7" s="74">
        <f t="shared" si="2"/>
        <v>0</v>
      </c>
      <c r="O7" s="74">
        <f t="shared" si="2"/>
        <v>0</v>
      </c>
      <c r="P7" s="77">
        <f t="shared" si="2"/>
        <v>0</v>
      </c>
      <c r="Q7" s="92">
        <f t="shared" si="2"/>
        <v>0</v>
      </c>
      <c r="R7" s="93">
        <f t="shared" si="2"/>
        <v>0</v>
      </c>
      <c r="S7" s="94">
        <f>SUM(S5:S6)+P8</f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4.75" customHeight="1" thickBot="1">
      <c r="A8" s="24"/>
      <c r="B8" s="24"/>
      <c r="C8" s="24"/>
      <c r="D8" s="482"/>
      <c r="E8" s="478"/>
      <c r="F8" s="478"/>
      <c r="G8" s="478"/>
      <c r="H8" s="478"/>
      <c r="I8" s="478"/>
      <c r="J8" s="478"/>
      <c r="K8" s="478"/>
      <c r="L8" s="24"/>
      <c r="M8" s="25"/>
      <c r="N8" s="25"/>
      <c r="O8" s="67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24.75" customHeight="1" thickBot="1">
      <c r="A9" s="24"/>
      <c r="B9" s="24"/>
      <c r="C9" s="24"/>
      <c r="D9" s="60" t="s">
        <v>45</v>
      </c>
      <c r="E9" s="61"/>
      <c r="F9" s="61"/>
      <c r="G9" s="61"/>
      <c r="H9" s="61"/>
      <c r="I9" s="27"/>
      <c r="J9" s="24"/>
      <c r="K9" s="24"/>
      <c r="L9" s="24"/>
      <c r="M9" s="25"/>
      <c r="N9" s="25"/>
      <c r="O9" s="25"/>
      <c r="P9" s="68">
        <f>P7+P8</f>
        <v>0</v>
      </c>
      <c r="Q9" s="28"/>
      <c r="R9" s="29"/>
      <c r="S9" s="69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483"/>
      <c r="E10" s="478"/>
      <c r="F10" s="478"/>
      <c r="G10" s="478"/>
      <c r="H10" s="478"/>
      <c r="I10" s="478"/>
      <c r="J10" s="478"/>
      <c r="K10" s="478"/>
      <c r="L10" s="24"/>
      <c r="M10" s="25"/>
      <c r="N10" s="25"/>
      <c r="O10" s="25"/>
      <c r="P10" s="11"/>
      <c r="Q10" s="4" t="s">
        <v>25</v>
      </c>
      <c r="R10" s="70">
        <f>M7+N7+O7+P9+Q7+R7</f>
        <v>0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7" t="s">
        <v>13</v>
      </c>
      <c r="P11" s="11" t="s">
        <v>47</v>
      </c>
      <c r="Q11" s="4"/>
      <c r="R11" s="5"/>
      <c r="S11" s="5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 Zarpelon</dc:creator>
  <cp:lastModifiedBy>Valmir Zarpelon</cp:lastModifiedBy>
  <dcterms:created xsi:type="dcterms:W3CDTF">2006-09-16T00:00:00Z</dcterms:created>
  <dcterms:modified xsi:type="dcterms:W3CDTF">2023-11-01T14:25:15Z</dcterms:modified>
</cp:coreProperties>
</file>