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3 - GEFINVIAGENS\VIAGENS\SIC - DESPESAS COM VIAGENS - 2023 ( FECHADA )\"/>
    </mc:Choice>
  </mc:AlternateContent>
  <bookViews>
    <workbookView xWindow="-135" yWindow="4395" windowWidth="19815" windowHeight="8895" activeTab="12"/>
  </bookViews>
  <sheets>
    <sheet name="RESUMO GERAL" sheetId="1" r:id="rId1"/>
    <sheet name="JAN" sheetId="2" r:id="rId2"/>
    <sheet name="FEV" sheetId="3" r:id="rId3"/>
    <sheet name="MAR" sheetId="4" r:id="rId4"/>
    <sheet name="ABR" sheetId="5" r:id="rId5"/>
    <sheet name="MAI" sheetId="6" r:id="rId6"/>
    <sheet name="JUN" sheetId="7" r:id="rId7"/>
    <sheet name="JUL" sheetId="8" r:id="rId8"/>
    <sheet name="AGO" sheetId="9" r:id="rId9"/>
    <sheet name="SET" sheetId="10" r:id="rId10"/>
    <sheet name="OUT" sheetId="11" r:id="rId11"/>
    <sheet name="NOV" sheetId="12" r:id="rId12"/>
    <sheet name="DEZ" sheetId="14" r:id="rId13"/>
  </sheets>
  <calcPr calcId="162913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Q5" i="14" l="1"/>
  <c r="H5" i="14"/>
  <c r="R11" i="10" l="1"/>
  <c r="R15" i="12" l="1"/>
  <c r="R13" i="12"/>
  <c r="R12" i="12"/>
  <c r="R11" i="12"/>
  <c r="R6" i="12"/>
  <c r="R5" i="12"/>
  <c r="Q14" i="12"/>
  <c r="Q9" i="12"/>
  <c r="N8" i="12"/>
  <c r="N7" i="12"/>
  <c r="M12" i="11"/>
  <c r="R10" i="11"/>
  <c r="R9" i="11"/>
  <c r="R8" i="11"/>
  <c r="R7" i="11"/>
  <c r="R6" i="11"/>
  <c r="R5" i="11"/>
  <c r="R10" i="10"/>
  <c r="S6" i="12" l="1"/>
  <c r="S7" i="12"/>
  <c r="S8" i="12"/>
  <c r="S9" i="12"/>
  <c r="S10" i="12"/>
  <c r="S11" i="12"/>
  <c r="S12" i="12"/>
  <c r="S13" i="12"/>
  <c r="S14" i="12"/>
  <c r="S15" i="12"/>
  <c r="H6" i="12"/>
  <c r="H7" i="12"/>
  <c r="H8" i="12"/>
  <c r="H9" i="12"/>
  <c r="H10" i="12"/>
  <c r="H11" i="12"/>
  <c r="H12" i="12"/>
  <c r="H13" i="12"/>
  <c r="H14" i="12"/>
  <c r="H15" i="12"/>
  <c r="H16" i="12"/>
  <c r="S5" i="10"/>
  <c r="S6" i="10"/>
  <c r="S7" i="10"/>
  <c r="S8" i="10"/>
  <c r="S9" i="10"/>
  <c r="S10" i="10"/>
  <c r="S11" i="10"/>
  <c r="S12" i="10"/>
  <c r="S13" i="10"/>
  <c r="R10" i="9"/>
  <c r="Q15" i="11" l="1"/>
  <c r="Q9" i="11"/>
  <c r="Q8" i="11"/>
  <c r="Q7" i="11"/>
  <c r="S6" i="11"/>
  <c r="S7" i="11"/>
  <c r="S8" i="11"/>
  <c r="S9" i="11"/>
  <c r="S10" i="11"/>
  <c r="S11" i="11"/>
  <c r="S12" i="11"/>
  <c r="S13" i="11"/>
  <c r="S14" i="11"/>
  <c r="S15" i="11"/>
  <c r="S16" i="11"/>
  <c r="S17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Q13" i="10"/>
  <c r="Q12" i="10"/>
  <c r="Q8" i="10"/>
  <c r="Q6" i="10"/>
  <c r="R9" i="9"/>
  <c r="R8" i="9"/>
  <c r="R7" i="9"/>
  <c r="R6" i="9"/>
  <c r="M8" i="9"/>
  <c r="M6" i="9"/>
  <c r="S14" i="10" l="1"/>
  <c r="H6" i="10"/>
  <c r="H7" i="10"/>
  <c r="H8" i="10"/>
  <c r="H9" i="10"/>
  <c r="H10" i="10"/>
  <c r="H11" i="10"/>
  <c r="H12" i="10"/>
  <c r="H13" i="10"/>
  <c r="H14" i="10"/>
  <c r="Q10" i="9"/>
  <c r="Q7" i="9"/>
  <c r="Q6" i="9"/>
  <c r="H8" i="9" l="1"/>
  <c r="H9" i="9"/>
  <c r="H10" i="9"/>
  <c r="S8" i="9"/>
  <c r="S9" i="9"/>
  <c r="S10" i="9"/>
  <c r="R12" i="8"/>
  <c r="R11" i="8"/>
  <c r="R10" i="8"/>
  <c r="R12" i="4"/>
  <c r="R11" i="4"/>
  <c r="Q6" i="8" l="1"/>
  <c r="S5" i="8"/>
  <c r="S6" i="8"/>
  <c r="S7" i="8"/>
  <c r="S8" i="8"/>
  <c r="S9" i="8"/>
  <c r="S10" i="8"/>
  <c r="S11" i="8"/>
  <c r="S12" i="8"/>
  <c r="H5" i="8"/>
  <c r="H6" i="8"/>
  <c r="H7" i="8"/>
  <c r="H8" i="8"/>
  <c r="H9" i="8"/>
  <c r="H10" i="8"/>
  <c r="H11" i="8"/>
  <c r="H12" i="8"/>
  <c r="R7" i="6"/>
  <c r="R6" i="6"/>
  <c r="S6" i="7" l="1"/>
  <c r="S7" i="7"/>
  <c r="S5" i="7"/>
  <c r="H6" i="7"/>
  <c r="H7" i="7"/>
  <c r="H5" i="7"/>
  <c r="R4" i="6"/>
  <c r="M4" i="6"/>
  <c r="R9" i="4"/>
  <c r="Q13" i="6" l="1"/>
  <c r="S13" i="6" s="1"/>
  <c r="Q9" i="6"/>
  <c r="S9" i="6" s="1"/>
  <c r="Q8" i="6"/>
  <c r="S8" i="6" s="1"/>
  <c r="H6" i="6"/>
  <c r="H7" i="6"/>
  <c r="H8" i="6"/>
  <c r="H9" i="6"/>
  <c r="H10" i="6"/>
  <c r="H11" i="6"/>
  <c r="H12" i="6"/>
  <c r="H13" i="6"/>
  <c r="H5" i="6"/>
  <c r="S6" i="6"/>
  <c r="S7" i="6"/>
  <c r="S10" i="6"/>
  <c r="S11" i="6"/>
  <c r="S12" i="6"/>
  <c r="S5" i="6"/>
  <c r="R6" i="5"/>
  <c r="Q6" i="5" l="1"/>
  <c r="R7" i="4"/>
  <c r="R6" i="4"/>
  <c r="R5" i="4"/>
  <c r="Q19" i="4"/>
  <c r="Q18" i="4"/>
  <c r="Q15" i="4"/>
  <c r="Q14" i="4"/>
  <c r="H19" i="4"/>
  <c r="Q12" i="4" l="1"/>
  <c r="Q11" i="4"/>
  <c r="Q10" i="4"/>
  <c r="Q9" i="4"/>
  <c r="Q8" i="4"/>
  <c r="S8" i="4" s="1"/>
  <c r="Q7" i="4"/>
  <c r="S7" i="4" s="1"/>
  <c r="Q6" i="4"/>
  <c r="Q5" i="4"/>
  <c r="H7" i="4"/>
  <c r="H8" i="4"/>
  <c r="H9" i="4"/>
  <c r="H10" i="4"/>
  <c r="H11" i="4"/>
  <c r="H12" i="4"/>
  <c r="H13" i="4"/>
  <c r="H14" i="4"/>
  <c r="H15" i="4"/>
  <c r="H16" i="4"/>
  <c r="H17" i="4"/>
  <c r="H18" i="4"/>
  <c r="H6" i="4"/>
  <c r="H5" i="4"/>
  <c r="S9" i="4"/>
  <c r="S10" i="4"/>
  <c r="S11" i="4"/>
  <c r="S12" i="4"/>
  <c r="S13" i="4"/>
  <c r="S14" i="4"/>
  <c r="S15" i="4"/>
  <c r="S16" i="4"/>
  <c r="S17" i="4"/>
  <c r="S18" i="4"/>
  <c r="S6" i="4"/>
  <c r="R5" i="2"/>
  <c r="H5" i="10" l="1"/>
  <c r="R7" i="14" l="1"/>
  <c r="I17" i="1" s="1"/>
  <c r="Q7" i="14"/>
  <c r="H17" i="1" s="1"/>
  <c r="P7" i="14"/>
  <c r="P8" i="14" s="1"/>
  <c r="O7" i="14"/>
  <c r="F17" i="1" s="1"/>
  <c r="N7" i="14"/>
  <c r="E17" i="1" s="1"/>
  <c r="M7" i="14"/>
  <c r="D17" i="1" s="1"/>
  <c r="S6" i="14"/>
  <c r="H6" i="14"/>
  <c r="S5" i="14"/>
  <c r="P9" i="14" l="1"/>
  <c r="S7" i="14"/>
  <c r="R10" i="14" l="1"/>
  <c r="S10" i="14" s="1"/>
  <c r="G17" i="1"/>
  <c r="R19" i="11"/>
  <c r="J17" i="1" l="1"/>
  <c r="L17" i="1" s="1"/>
  <c r="H5" i="11"/>
  <c r="O19" i="11"/>
  <c r="F15" i="1" s="1"/>
  <c r="N19" i="11"/>
  <c r="E15" i="1" s="1"/>
  <c r="M19" i="11"/>
  <c r="D15" i="1" s="1"/>
  <c r="Q19" i="11"/>
  <c r="H15" i="1" s="1"/>
  <c r="S18" i="11"/>
  <c r="S5" i="11" l="1"/>
  <c r="H5" i="9"/>
  <c r="H6" i="9"/>
  <c r="H7" i="9"/>
  <c r="S6" i="9"/>
  <c r="S7" i="9"/>
  <c r="S13" i="8"/>
  <c r="H13" i="8"/>
  <c r="S7" i="5"/>
  <c r="H7" i="5"/>
  <c r="H5" i="2"/>
  <c r="P20" i="11" l="1"/>
  <c r="S19" i="11" s="1"/>
  <c r="R17" i="12"/>
  <c r="I16" i="1" s="1"/>
  <c r="Q17" i="12"/>
  <c r="H16" i="1" s="1"/>
  <c r="P17" i="12"/>
  <c r="O17" i="12"/>
  <c r="N17" i="12"/>
  <c r="E16" i="1" s="1"/>
  <c r="M17" i="12"/>
  <c r="S16" i="12"/>
  <c r="S5" i="12"/>
  <c r="H5" i="12"/>
  <c r="R15" i="10"/>
  <c r="I14" i="1" s="1"/>
  <c r="Q15" i="10"/>
  <c r="H14" i="1" s="1"/>
  <c r="P15" i="10"/>
  <c r="O15" i="10"/>
  <c r="F14" i="1" s="1"/>
  <c r="N15" i="10"/>
  <c r="E14" i="1" s="1"/>
  <c r="M15" i="10"/>
  <c r="D14" i="1" s="1"/>
  <c r="R11" i="9"/>
  <c r="I13" i="1" s="1"/>
  <c r="Q11" i="9"/>
  <c r="P11" i="9"/>
  <c r="P12" i="9" s="1"/>
  <c r="O11" i="9"/>
  <c r="F13" i="1" s="1"/>
  <c r="N11" i="9"/>
  <c r="E13" i="1" s="1"/>
  <c r="M11" i="9"/>
  <c r="D13" i="1" s="1"/>
  <c r="S5" i="9"/>
  <c r="R15" i="8"/>
  <c r="I12" i="1" s="1"/>
  <c r="Q15" i="8"/>
  <c r="H12" i="1" s="1"/>
  <c r="P15" i="8"/>
  <c r="O15" i="8"/>
  <c r="F12" i="1" s="1"/>
  <c r="N15" i="8"/>
  <c r="E12" i="1" s="1"/>
  <c r="M15" i="8"/>
  <c r="D12" i="1" s="1"/>
  <c r="S4" i="8"/>
  <c r="H4" i="8"/>
  <c r="R11" i="7"/>
  <c r="Q11" i="7"/>
  <c r="P11" i="7"/>
  <c r="P12" i="7" s="1"/>
  <c r="O11" i="7"/>
  <c r="F11" i="1" s="1"/>
  <c r="N11" i="7"/>
  <c r="E11" i="1" s="1"/>
  <c r="M11" i="7"/>
  <c r="S9" i="7"/>
  <c r="H9" i="7"/>
  <c r="S8" i="7"/>
  <c r="H8" i="7"/>
  <c r="S4" i="7"/>
  <c r="H4" i="7"/>
  <c r="P15" i="6"/>
  <c r="O15" i="6"/>
  <c r="F10" i="1" s="1"/>
  <c r="N15" i="6"/>
  <c r="M15" i="6"/>
  <c r="R15" i="6"/>
  <c r="I10" i="1" s="1"/>
  <c r="Q15" i="6"/>
  <c r="H4" i="6"/>
  <c r="R9" i="5"/>
  <c r="I9" i="1" s="1"/>
  <c r="Q9" i="5"/>
  <c r="H9" i="1" s="1"/>
  <c r="P9" i="5"/>
  <c r="P10" i="5" s="1"/>
  <c r="O9" i="5"/>
  <c r="N9" i="5"/>
  <c r="E9" i="1" s="1"/>
  <c r="M9" i="5"/>
  <c r="D9" i="1" s="1"/>
  <c r="S6" i="5"/>
  <c r="H6" i="5"/>
  <c r="S5" i="5"/>
  <c r="H5" i="5"/>
  <c r="P21" i="4"/>
  <c r="P22" i="4" s="1"/>
  <c r="O21" i="4"/>
  <c r="F8" i="1" s="1"/>
  <c r="N21" i="4"/>
  <c r="E8" i="1" s="1"/>
  <c r="M21" i="4"/>
  <c r="R21" i="4"/>
  <c r="I8" i="1" s="1"/>
  <c r="S19" i="4"/>
  <c r="S5" i="4"/>
  <c r="Q21" i="4"/>
  <c r="H8" i="1" s="1"/>
  <c r="P8" i="3"/>
  <c r="P9" i="3" s="1"/>
  <c r="O8" i="3"/>
  <c r="F7" i="1" s="1"/>
  <c r="N8" i="3"/>
  <c r="M8" i="3"/>
  <c r="D7" i="1" s="1"/>
  <c r="R8" i="3"/>
  <c r="I7" i="1" s="1"/>
  <c r="Q8" i="3"/>
  <c r="H7" i="1" s="1"/>
  <c r="S7" i="3"/>
  <c r="S6" i="3"/>
  <c r="S5" i="3"/>
  <c r="P7" i="2"/>
  <c r="P8" i="2" s="1"/>
  <c r="O7" i="2"/>
  <c r="F6" i="1" s="1"/>
  <c r="N7" i="2"/>
  <c r="E6" i="1" s="1"/>
  <c r="M7" i="2"/>
  <c r="D6" i="1" s="1"/>
  <c r="Q7" i="2"/>
  <c r="H6" i="1" s="1"/>
  <c r="S5" i="2"/>
  <c r="R7" i="2"/>
  <c r="I6" i="1" s="1"/>
  <c r="F16" i="1"/>
  <c r="D16" i="1"/>
  <c r="H13" i="1"/>
  <c r="I11" i="1"/>
  <c r="H11" i="1"/>
  <c r="D11" i="1"/>
  <c r="H10" i="1"/>
  <c r="E10" i="1"/>
  <c r="D10" i="1"/>
  <c r="F9" i="1"/>
  <c r="D8" i="1"/>
  <c r="E7" i="1"/>
  <c r="S11" i="7" l="1"/>
  <c r="P21" i="11"/>
  <c r="G15" i="1" s="1"/>
  <c r="S11" i="9"/>
  <c r="S9" i="5"/>
  <c r="E19" i="1"/>
  <c r="D19" i="1"/>
  <c r="F19" i="1"/>
  <c r="H19" i="1"/>
  <c r="P23" i="4"/>
  <c r="G8" i="1" s="1"/>
  <c r="J8" i="1" s="1"/>
  <c r="S21" i="4"/>
  <c r="S7" i="2"/>
  <c r="P19" i="12"/>
  <c r="G16" i="1" s="1"/>
  <c r="J16" i="1" s="1"/>
  <c r="P9" i="2"/>
  <c r="G6" i="1" s="1"/>
  <c r="S8" i="3"/>
  <c r="P10" i="3"/>
  <c r="G7" i="1" s="1"/>
  <c r="J7" i="1" s="1"/>
  <c r="P11" i="5"/>
  <c r="G9" i="1" s="1"/>
  <c r="J9" i="1" s="1"/>
  <c r="S4" i="6"/>
  <c r="P16" i="6"/>
  <c r="P17" i="6" s="1"/>
  <c r="G10" i="1" s="1"/>
  <c r="J10" i="1" s="1"/>
  <c r="P13" i="7"/>
  <c r="G11" i="1" s="1"/>
  <c r="J11" i="1" s="1"/>
  <c r="P16" i="8"/>
  <c r="S15" i="8" s="1"/>
  <c r="P13" i="9"/>
  <c r="G13" i="1" s="1"/>
  <c r="J13" i="1" s="1"/>
  <c r="P16" i="10"/>
  <c r="S15" i="10" s="1"/>
  <c r="P18" i="12"/>
  <c r="S17" i="12" s="1"/>
  <c r="L11" i="1" l="1"/>
  <c r="L9" i="1"/>
  <c r="L16" i="1"/>
  <c r="P17" i="10"/>
  <c r="G14" i="1" s="1"/>
  <c r="J14" i="1" s="1"/>
  <c r="L14" i="1" s="1"/>
  <c r="L13" i="1"/>
  <c r="P17" i="8"/>
  <c r="G12" i="1" s="1"/>
  <c r="J12" i="1" s="1"/>
  <c r="L12" i="1" s="1"/>
  <c r="L8" i="1"/>
  <c r="L7" i="1"/>
  <c r="R14" i="9"/>
  <c r="S14" i="9" s="1"/>
  <c r="R14" i="7"/>
  <c r="S14" i="7" s="1"/>
  <c r="S15" i="6"/>
  <c r="L10" i="1" s="1"/>
  <c r="R20" i="12"/>
  <c r="S20" i="12" s="1"/>
  <c r="R18" i="6"/>
  <c r="R24" i="4"/>
  <c r="S24" i="4" s="1"/>
  <c r="R11" i="3"/>
  <c r="S11" i="3" s="1"/>
  <c r="R10" i="2"/>
  <c r="S10" i="2" s="1"/>
  <c r="J6" i="1"/>
  <c r="L6" i="1" s="1"/>
  <c r="R12" i="5"/>
  <c r="S12" i="5" s="1"/>
  <c r="R18" i="8" l="1"/>
  <c r="S18" i="8" s="1"/>
  <c r="R18" i="10"/>
  <c r="S18" i="10" s="1"/>
  <c r="G19" i="1"/>
  <c r="S18" i="6"/>
  <c r="R22" i="11"/>
  <c r="S22" i="11" s="1"/>
  <c r="I15" i="1"/>
  <c r="J15" i="1" s="1"/>
  <c r="L15" i="1" s="1"/>
  <c r="I19" i="1" l="1"/>
  <c r="I22" i="1" s="1"/>
  <c r="J25" i="1" s="1"/>
</calcChain>
</file>

<file path=xl/sharedStrings.xml><?xml version="1.0" encoding="utf-8"?>
<sst xmlns="http://schemas.openxmlformats.org/spreadsheetml/2006/main" count="885" uniqueCount="389">
  <si>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</si>
  <si>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</si>
  <si>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</si>
  <si>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</si>
  <si>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</si>
  <si>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</si>
  <si>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</si>
  <si>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</si>
  <si>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</si>
  <si>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</si>
  <si>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</si>
  <si>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</si>
  <si>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</si>
  <si>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</si>
  <si>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</si>
  <si>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</si>
  <si>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</si>
  <si>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</si>
  <si>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</si>
  <si>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</si>
  <si>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</si>
  <si>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</si>
  <si>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</si>
  <si>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</si>
  <si>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</si>
  <si>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</si>
  <si>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</si>
  <si>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</si>
  <si>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  <family val="2"/>
      </rPr>
      <t>FECHADO</t>
    </r>
    <r>
      <rPr>
        <sz val="11"/>
        <color theme="1"/>
        <rFont val="Calibri"/>
        <family val="2"/>
      </rPr>
      <t>: TODAS AS DESPESAS LANÇADAS.</t>
    </r>
  </si>
  <si>
    <r>
      <rPr>
        <b/>
        <sz val="11"/>
        <color theme="1"/>
        <rFont val="Calibri"/>
        <family val="2"/>
      </rPr>
      <t>PARCIAL</t>
    </r>
    <r>
      <rPr>
        <sz val="11"/>
        <color theme="1"/>
        <rFont val="Calibri"/>
        <family val="2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</si>
  <si>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</si>
  <si>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</si>
  <si>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</si>
  <si>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</si>
  <si>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</si>
  <si>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</si>
  <si>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</si>
  <si>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</si>
  <si>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</si>
  <si>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</si>
  <si>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</si>
  <si>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</si>
  <si>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</si>
  <si>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</si>
  <si>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</si>
  <si>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AGUARDANDO DOCUMENTOS DE COBRANÇA</t>
  </si>
  <si>
    <t>conferência</t>
  </si>
  <si>
    <t>Tx. Adm. Contrato</t>
  </si>
  <si>
    <t>SEM VIAGENS NO PERÍODO</t>
  </si>
  <si>
    <t>FECHADO</t>
  </si>
  <si>
    <r>
      <t xml:space="preserve">SIC -  </t>
    </r>
    <r>
      <rPr>
        <sz val="14"/>
        <color rgb="FF000000"/>
        <rFont val="Arial"/>
        <family val="2"/>
      </rPr>
      <t>RELAÇÃO DE VIAGENS  - JANEIRO 2023</t>
    </r>
  </si>
  <si>
    <r>
      <t xml:space="preserve">SIC -  </t>
    </r>
    <r>
      <rPr>
        <sz val="14"/>
        <color rgb="FF000000"/>
        <rFont val="Arial"/>
        <family val="2"/>
      </rPr>
      <t>RELAÇÃO DE VIAGENS  - FEVEREIRO 2023</t>
    </r>
    <r>
      <rPr>
        <b/>
        <sz val="14"/>
        <color rgb="FF000000"/>
        <rFont val="Arial"/>
        <family val="2"/>
      </rPr>
      <t xml:space="preserve"> </t>
    </r>
  </si>
  <si>
    <r>
      <t xml:space="preserve">SIC -  </t>
    </r>
    <r>
      <rPr>
        <sz val="14"/>
        <color rgb="FF000000"/>
        <rFont val="Arial"/>
        <family val="2"/>
      </rPr>
      <t>RELAÇÃO DE VIAGENS  - MARÇO 2023</t>
    </r>
  </si>
  <si>
    <r>
      <t xml:space="preserve">SIC -  </t>
    </r>
    <r>
      <rPr>
        <sz val="14"/>
        <color rgb="FF000000"/>
        <rFont val="Arial"/>
        <family val="2"/>
      </rPr>
      <t>RELAÇÃO DE VIAGENS  - ABRIL 2023</t>
    </r>
  </si>
  <si>
    <r>
      <t xml:space="preserve">SIC -  </t>
    </r>
    <r>
      <rPr>
        <sz val="14"/>
        <color rgb="FF000000"/>
        <rFont val="Arial"/>
        <family val="2"/>
      </rPr>
      <t>RELAÇÃO DE VIAGENS  - MAIO 2023</t>
    </r>
  </si>
  <si>
    <r>
      <t xml:space="preserve">SIC - </t>
    </r>
    <r>
      <rPr>
        <sz val="14"/>
        <color rgb="FF000000"/>
        <rFont val="Arial"/>
        <family val="2"/>
      </rPr>
      <t>RELAÇÃO DE VIAGENS  - JULHO 2023</t>
    </r>
    <r>
      <rPr>
        <b/>
        <sz val="14"/>
        <color rgb="FF000000"/>
        <rFont val="Arial"/>
        <family val="2"/>
      </rPr>
      <t xml:space="preserve"> </t>
    </r>
  </si>
  <si>
    <r>
      <t xml:space="preserve">SIC -  </t>
    </r>
    <r>
      <rPr>
        <sz val="14"/>
        <color rgb="FF000000"/>
        <rFont val="Arial"/>
        <family val="2"/>
      </rPr>
      <t>RELAÇÃO DE VIAGENS  - JUNHO 2023</t>
    </r>
  </si>
  <si>
    <r>
      <t xml:space="preserve">SIC -  </t>
    </r>
    <r>
      <rPr>
        <sz val="14"/>
        <color rgb="FF000000"/>
        <rFont val="Arial"/>
        <family val="2"/>
      </rPr>
      <t>RELAÇÃO DE VIAGENS  - AGOSTO 2023</t>
    </r>
  </si>
  <si>
    <r>
      <t xml:space="preserve"> SIC - </t>
    </r>
    <r>
      <rPr>
        <sz val="14"/>
        <color rgb="FF000000"/>
        <rFont val="Arial"/>
        <family val="2"/>
      </rPr>
      <t>RELAÇÃO DE VIAGENS  - SETEMBRO 2023</t>
    </r>
  </si>
  <si>
    <r>
      <t xml:space="preserve"> SIC - </t>
    </r>
    <r>
      <rPr>
        <sz val="14"/>
        <color rgb="FF000000"/>
        <rFont val="Arial"/>
        <family val="2"/>
      </rPr>
      <t>RELAÇÃO DE VIAGENS  - OUTUBRO 2023</t>
    </r>
  </si>
  <si>
    <r>
      <t xml:space="preserve"> SIC - </t>
    </r>
    <r>
      <rPr>
        <sz val="14"/>
        <color rgb="FF000000"/>
        <rFont val="Arial"/>
        <family val="2"/>
      </rPr>
      <t>RELAÇÃO DE VIAGENS  - NOVEMBRO 2023</t>
    </r>
  </si>
  <si>
    <r>
      <t xml:space="preserve"> SIC - </t>
    </r>
    <r>
      <rPr>
        <sz val="14"/>
        <color rgb="FF000000"/>
        <rFont val="Arial"/>
        <family val="2"/>
      </rPr>
      <t>RELAÇÃO DE VIAGENS  - DEZEMBRO 2023</t>
    </r>
  </si>
  <si>
    <r>
      <t xml:space="preserve">SIC -  </t>
    </r>
    <r>
      <rPr>
        <sz val="14"/>
        <color rgb="FF000000"/>
        <rFont val="Arial"/>
        <family val="2"/>
      </rPr>
      <t>RESUMO DAS DESPESAS COM VIAGENS - 2023</t>
    </r>
  </si>
  <si>
    <t>23092.000783/2023-40</t>
  </si>
  <si>
    <t>ALESSANDRO N. SCHILDT</t>
  </si>
  <si>
    <t>ENGEHEIRO DO NITT</t>
  </si>
  <si>
    <t>PARTICIPAR QUESTEL ORBIT USER MEETING BRAZIL 2023</t>
  </si>
  <si>
    <t>CAMPINAS</t>
  </si>
  <si>
    <t>Jan/Fev</t>
  </si>
  <si>
    <t>23092.001399/2023-64</t>
  </si>
  <si>
    <t>23092.003172/2023-53</t>
  </si>
  <si>
    <t>23092.003198/2023-00</t>
  </si>
  <si>
    <t>23092.003168/2023-95</t>
  </si>
  <si>
    <t>23092.002058/2023-14</t>
  </si>
  <si>
    <t>DÉBORA VIRGINIA CARVALHO VALENTE</t>
  </si>
  <si>
    <t>ANALISTA COMPRADOR I.</t>
  </si>
  <si>
    <t>Participação no 18º Congresso Nacional de Pregoeiros</t>
  </si>
  <si>
    <t>NADINE OLIVEIRA CLAUSELL</t>
  </si>
  <si>
    <t>DIRETORA - PRESIDENTE</t>
  </si>
  <si>
    <t>PARTICIPAR DA REUNIÃO EXECUTIVA DO MEC</t>
  </si>
  <si>
    <t>JORGE LUIS BAJERSKI</t>
  </si>
  <si>
    <t>DIRETOR ADMINISTRATIVO</t>
  </si>
  <si>
    <t>LUCIANA PAULA CADORE STEFANI</t>
  </si>
  <si>
    <t>DIRETOR DE ENSINO</t>
  </si>
  <si>
    <t>ANELISE GAYGER KLEIN</t>
  </si>
  <si>
    <t>CHEFE SERV. ANÁLISE FINANC. E EXEC. CONTRATUAL</t>
  </si>
  <si>
    <t>PARTICIPAÇÃO NO 4º SEMINÁRIO NACIONAL DAS ESTATAIS</t>
  </si>
  <si>
    <t>TÂNIA PINHEIRO PROENÇA</t>
  </si>
  <si>
    <t>CHEFE SERV. DE DIR. AD. LIC. CONTR. CONVÊNIOS</t>
  </si>
  <si>
    <t>MARCUS MANKE OLIVEIRA</t>
  </si>
  <si>
    <t>ANALISTA COMPRADOR II.</t>
  </si>
  <si>
    <t>LUANA BAPTISTA RODRIGUES PIRES</t>
  </si>
  <si>
    <t>CHEFE DO SERVIÇO DE COMPRAS</t>
  </si>
  <si>
    <t>POA X FOZ DO IGUAÇÚ X POA</t>
  </si>
  <si>
    <t>POA X BSB XBSB</t>
  </si>
  <si>
    <t>POA X FOZ DO IGUAÇU X POA</t>
  </si>
  <si>
    <t>Mar/Abr</t>
  </si>
  <si>
    <t>23092.003202/2023-21</t>
  </si>
  <si>
    <t>23092.004124/2023-82</t>
  </si>
  <si>
    <t>23092.004066/2023-97</t>
  </si>
  <si>
    <t>23092.004491/2023-86</t>
  </si>
  <si>
    <t>23092.004179/2023-92</t>
  </si>
  <si>
    <t>23092.004450/2023-90</t>
  </si>
  <si>
    <t>23092.004137/2023-51</t>
  </si>
  <si>
    <t>REUNIÃO CONSELHO FISCAL DA BB PREVIDÊNCIA</t>
  </si>
  <si>
    <t>PARTICIPAR DA REUNIÃO DA SEST</t>
  </si>
  <si>
    <t>AUDIÊNCIAS NO TCU</t>
  </si>
  <si>
    <t>JAIRO HENRIQUE GONÇALVES</t>
  </si>
  <si>
    <t>COORDENADOR JURIDICO</t>
  </si>
  <si>
    <t>ROSELI FÁTIMA ARMILIATTO BORTOLUZZI</t>
  </si>
  <si>
    <t>ASSESSOR PRESIDÊNCIA</t>
  </si>
  <si>
    <t>ANDRÉ TIAGO DA LUZ TARTAS</t>
  </si>
  <si>
    <t>CONSELHEIRO DE ADMINISTRAÇÃO</t>
  </si>
  <si>
    <t>POA X BSB X POA</t>
  </si>
  <si>
    <t>POA X BSB XPOA</t>
  </si>
  <si>
    <t>VIAGEM CANCELADA</t>
  </si>
  <si>
    <t>23092.004713/2023-61</t>
  </si>
  <si>
    <t>23092.005625/2023-86</t>
  </si>
  <si>
    <t>ALEXANDRE CAIRO</t>
  </si>
  <si>
    <t>PROCURADOR GERAL DA REPÚBLICA</t>
  </si>
  <si>
    <t>Assembleia Geral Extraordinária nº 029 e Assembleia Geral Ordinária nº 030</t>
  </si>
  <si>
    <t>TATIANA SEEFELD</t>
  </si>
  <si>
    <t>ADVOGADO GERAL II</t>
  </si>
  <si>
    <t>SIMONE MEDIANEIRA SCRMIN</t>
  </si>
  <si>
    <t>PSICÓLOGO HOSPITALAR CLÍNICO II</t>
  </si>
  <si>
    <t>Encontro de Serviços de aborto legal - Fac. Saúde Pública da USP /SP</t>
  </si>
  <si>
    <t>BSB X POA X BSB</t>
  </si>
  <si>
    <t>POA X SP X POA</t>
  </si>
  <si>
    <t>23092.006697/2023-41</t>
  </si>
  <si>
    <t>23092.007213/2023-81</t>
  </si>
  <si>
    <t>23092.007190/2023-12</t>
  </si>
  <si>
    <t>23092.007264/2023-11</t>
  </si>
  <si>
    <t>23092.007266/2023-00</t>
  </si>
  <si>
    <t>23092.007273/2023-01</t>
  </si>
  <si>
    <t>23092.007300/2023-38</t>
  </si>
  <si>
    <t>23092.006298/2023-80</t>
  </si>
  <si>
    <t>23092.006905/2023-10</t>
  </si>
  <si>
    <t>GUSTAVO SALOMÃO PINTO</t>
  </si>
  <si>
    <t>COORDENADOR DE AUDITORIA INTERNA</t>
  </si>
  <si>
    <t>PARTICIPAR DA OFICINA APRIMORANDO AS RESPOSTAS AOS ÓRGÃOS DE CONTROLE</t>
  </si>
  <si>
    <t>Participar do FINEP Orienta, vinculado a prestação de contas do projeto FINEP onde o HCPA é proponente e ganhador de recursos para a construção do espaço de inovação junto ao prédio do CITI.</t>
  </si>
  <si>
    <t>Participação no 56 FONAITec.</t>
  </si>
  <si>
    <t>FLÁVIO DE MEDEIROS HORTA</t>
  </si>
  <si>
    <t>ANALISTA DE AUDITORIA II</t>
  </si>
  <si>
    <t>PARTIC. AUDIÊNCIA COM O DIRETOR PROGR. DA SAES</t>
  </si>
  <si>
    <t>BRASIL SILVA NETO</t>
  </si>
  <si>
    <t>DIRETOR MÉDICO</t>
  </si>
  <si>
    <t>TALITA UZEICA</t>
  </si>
  <si>
    <t>CHEFE SERV. ENGª PREDIAL E DE EDIFICAÇÕES</t>
  </si>
  <si>
    <t>PARTICIPAÇÃO DA FEIRA HOSPITALAR 2023</t>
  </si>
  <si>
    <t>FLÁVIA DE CASTRO MELLO</t>
  </si>
  <si>
    <t>ARQUITETO II</t>
  </si>
  <si>
    <t>PAULA JULIANA SILVA BITTENCOURT</t>
  </si>
  <si>
    <t>CHEFE SEÇÃO DE CONTROLE DE OBRAS E PROJETOS</t>
  </si>
  <si>
    <t>POA X SALVADOR X POA</t>
  </si>
  <si>
    <t>POA X SP XPOA</t>
  </si>
  <si>
    <t>POA X FLORIANÓPOLIS X POA</t>
  </si>
  <si>
    <t>SEM PASSAGENS</t>
  </si>
  <si>
    <t>23092.008315/2023-13</t>
  </si>
  <si>
    <t>23092.008243/2023-12</t>
  </si>
  <si>
    <t>23092.008942/2023-54</t>
  </si>
  <si>
    <t>23092.008760/2023-83</t>
  </si>
  <si>
    <t>23092.008752/2023-37</t>
  </si>
  <si>
    <t>23092.008959/2023-10</t>
  </si>
  <si>
    <t xml:space="preserve">ARIANE NÁDIA BACKES </t>
  </si>
  <si>
    <t>MÉDICO CIRURGIÃO PLANTONISTA II</t>
  </si>
  <si>
    <t>Participação. no 18 Th Congress of the Rehabilitation and Transplant Association ( CIRTA XVIII )</t>
  </si>
  <si>
    <t>LETICIA FELDENS</t>
  </si>
  <si>
    <t>LIEGE LESSE GODOY</t>
  </si>
  <si>
    <t>ENFERMEIRA DA INTERNAÇÃO PEDIÁTRICA I</t>
  </si>
  <si>
    <t>KELY REGINA DA LUZ</t>
  </si>
  <si>
    <t>ENFERMEIRA DE CUIDADOS CORONÁRIANOS II</t>
  </si>
  <si>
    <t>Capacitação dispositivo cardíaco HeartMate para profissionais de saúde do hospital Ivan Goulart (São Borja/RS), dispositivo instalado em 23/03/2023 no paciente RAMP (Pront. 6168926).</t>
  </si>
  <si>
    <t>DAYANNA MACHADO PIRES LEMOS</t>
  </si>
  <si>
    <t>MAUREN PORTO HAEFFNER</t>
  </si>
  <si>
    <t>FISIOTERAPEUTA DA CTI ADULTO II</t>
  </si>
  <si>
    <t>POA X CHICAGO ( USA ) X POA</t>
  </si>
  <si>
    <t>Jun/Jul</t>
  </si>
  <si>
    <t>POA X SÃO BORJA X POA</t>
  </si>
  <si>
    <t>23092.009282/2023-29</t>
  </si>
  <si>
    <t>23092.009551/2023-57</t>
  </si>
  <si>
    <t>23092.009843/2023-90</t>
  </si>
  <si>
    <t>23092.009975/2023-11</t>
  </si>
  <si>
    <t>23092.010921/2023-07</t>
  </si>
  <si>
    <t>23092.009274/2023-82</t>
  </si>
  <si>
    <t>JAQUELINE BIANCHINI CONSOLI</t>
  </si>
  <si>
    <t>CHEFE DO SERV. ADM DE ATENÇÃO Á INTERNAÇÃO</t>
  </si>
  <si>
    <t>Participação no GAPH - Gestão de Alta Performance Hospitalar - Projeto Transformação Laen nos Hospitais.</t>
  </si>
  <si>
    <t>ELENITA TERESINHA CHARÃO CHAGAS</t>
  </si>
  <si>
    <t>CHEFE DO SERV. ADM DE ATENÇÃO CIRÚRGICA</t>
  </si>
  <si>
    <t>Assembleia Geral Extraordinária nº 031</t>
  </si>
  <si>
    <t>ROSANE DA SILVA VEIGA PIROVANO</t>
  </si>
  <si>
    <t>CHEFE DA UNID DE CENTRO CIRÚRGICO 12º SUL.</t>
  </si>
  <si>
    <t>ANDRÉ MENA AVILA</t>
  </si>
  <si>
    <t>Coordenador de Gestão Tecnol. Informação e Comunicação</t>
  </si>
  <si>
    <t>1º Simpósio Internacional de Transformação Digital no SUS.</t>
  </si>
  <si>
    <t>VALTER FERREIRA DA SILVA</t>
  </si>
  <si>
    <t>Assessor para gestão estratégica de TIC</t>
  </si>
  <si>
    <t>DIRETORA PRESIDENTE</t>
  </si>
  <si>
    <t>RODRIGO FROHLICH WENZEL</t>
  </si>
  <si>
    <t>23092.010773/2023-12</t>
  </si>
  <si>
    <t>23092.010736/2023-12</t>
  </si>
  <si>
    <t>CHEFE DA SEÇÃO COMUNICAÇÃO E RELAC COM A SOCIEDADE</t>
  </si>
  <si>
    <t>Reunião - Apresentação de Projeto à Bancada Gaúcha - Câmara dos Deputados (Brasília).</t>
  </si>
  <si>
    <t>Jul/Ago</t>
  </si>
  <si>
    <t>POA XBSB X POA</t>
  </si>
  <si>
    <t>LISIANE NUNES ALDABE</t>
  </si>
  <si>
    <t>CHEFE DA UNID DE INTERNAÇÃO CLINICA 7º SUL.</t>
  </si>
  <si>
    <t>23092.009681/2023-90</t>
  </si>
  <si>
    <t>23092.012513/2023-81</t>
  </si>
  <si>
    <t>23092.012520/2023-83</t>
  </si>
  <si>
    <t>23092.01298/2023-84</t>
  </si>
  <si>
    <t>ASSESSOR PARA GESTÃO ESTRATÉGICA DE TIC</t>
  </si>
  <si>
    <t>Participação na reunião da Câmara Técnica de Informação e Informática em Saúde do Conselho Nacional de Secretários de Saúde (CONASS), para apresentar a Comunidade AGHUse. </t>
  </si>
  <si>
    <t>ANDRÉ MENA ÁVILA</t>
  </si>
  <si>
    <t>COORD. DE GESTÃO TECNOL. INFORM. E COMUNICAÇÃO</t>
  </si>
  <si>
    <t>Participação1º Simpósio Internacional de Transformação Digital no SUS</t>
  </si>
  <si>
    <t>BERENICE LEMPEK DOS SANTOS</t>
  </si>
  <si>
    <t>MÉDICA PESQ. DO PROJETO DE PESQUISA META 06/TED 105</t>
  </si>
  <si>
    <t>PARTICIPAÇÃO NO XXIV CONGRESSO LATINOAMERICANO E XV CONGRESSO IBEROAMERICANO DE GASTROENTEROLOGIA, HEPATOLOGIA Y NUTRICION PEDIÁTRICA LADPGHAN 2023</t>
  </si>
  <si>
    <t>PATRICIA ASHTON PROLLA</t>
  </si>
  <si>
    <t>DIRETORA PESQUISA</t>
  </si>
  <si>
    <t>REUNIÃO NO INCA</t>
  </si>
  <si>
    <t>POA X RJ X POA</t>
  </si>
  <si>
    <t>POAX BSB XPOA</t>
  </si>
  <si>
    <t>JOÃO PESSOA X RJ X JOÃO PESSOA</t>
  </si>
  <si>
    <t>***.039.154-**</t>
  </si>
  <si>
    <t>***.947.250-**</t>
  </si>
  <si>
    <t>***.600.310-**</t>
  </si>
  <si>
    <t>***.433.770-**</t>
  </si>
  <si>
    <t>***.301.850-**</t>
  </si>
  <si>
    <t>***.120.310-**</t>
  </si>
  <si>
    <t>***.851.280-**</t>
  </si>
  <si>
    <t>***.280.910-**</t>
  </si>
  <si>
    <t>***.272.660-**</t>
  </si>
  <si>
    <t>***.997.570-**</t>
  </si>
  <si>
    <t>***.067.840-**</t>
  </si>
  <si>
    <t>***.037.360-**</t>
  </si>
  <si>
    <t>***.250.957-**</t>
  </si>
  <si>
    <t>***.285.910-**</t>
  </si>
  <si>
    <t>***.291.000-**</t>
  </si>
  <si>
    <t>***.125.660-**</t>
  </si>
  <si>
    <t>***.039.145-**</t>
  </si>
  <si>
    <t>***.432.230-**</t>
  </si>
  <si>
    <t>***.446.580-**</t>
  </si>
  <si>
    <t>***.336.409-**</t>
  </si>
  <si>
    <t>***.455.730-**</t>
  </si>
  <si>
    <t>***.946.530-**</t>
  </si>
  <si>
    <t>***.642.210-**</t>
  </si>
  <si>
    <t>***.203.650-**</t>
  </si>
  <si>
    <t>***.010.490-**</t>
  </si>
  <si>
    <t>***.229.310-**</t>
  </si>
  <si>
    <t>***.923.060-**</t>
  </si>
  <si>
    <t>***.377.859-**</t>
  </si>
  <si>
    <t>***.998.400-**</t>
  </si>
  <si>
    <t>***.795.370-**</t>
  </si>
  <si>
    <t>***.434.870-**</t>
  </si>
  <si>
    <t>***.230.600-**</t>
  </si>
  <si>
    <t>***.410.628-**</t>
  </si>
  <si>
    <t>***.281.560-**</t>
  </si>
  <si>
    <t>***.511.330-**</t>
  </si>
  <si>
    <t>***.871.150-**</t>
  </si>
  <si>
    <t>***.466.310-**</t>
  </si>
  <si>
    <t>***.000.000-**</t>
  </si>
  <si>
    <t>23092.0130502023-75</t>
  </si>
  <si>
    <t>23092.012758/2023-17</t>
  </si>
  <si>
    <t>23092.013097/2023-39</t>
  </si>
  <si>
    <t>23092.013160/2023-37</t>
  </si>
  <si>
    <t>23092.013232/2023-46</t>
  </si>
  <si>
    <t>23092.013148/2023-22</t>
  </si>
  <si>
    <t>23092.014015/2023-73</t>
  </si>
  <si>
    <t>23092.013745/2023-57</t>
  </si>
  <si>
    <t>Assembleia Geral Extraordinária nº 032</t>
  </si>
  <si>
    <t>CARLA DALBOSCO</t>
  </si>
  <si>
    <t>ASSESSORA</t>
  </si>
  <si>
    <t>Seminário de Meio-Termo - CAPAES/MEC</t>
  </si>
  <si>
    <t>ADALTON ROCHA MATOS</t>
  </si>
  <si>
    <t>SUB SECRETÁRIO DO MEC</t>
  </si>
  <si>
    <t>Visita Técnica e Palestra sobre Orçamento Público e Execução Orçamentária e Financeira no HCPA</t>
  </si>
  <si>
    <t>FERNANDO NASCIMENTO ZATTA</t>
  </si>
  <si>
    <t>AUDITOR DO COMITÊ DE AUDITORIA</t>
  </si>
  <si>
    <t>GILVANA PONTE LINHARES DA SILVA</t>
  </si>
  <si>
    <t>CONSELHEIRA FISCAL</t>
  </si>
  <si>
    <t>DIRETORA DE ENSINO</t>
  </si>
  <si>
    <t>Participação no Seminário de Meio Termo - CAPES</t>
  </si>
  <si>
    <t>BÁRBARA CORRÊA KRUG</t>
  </si>
  <si>
    <t>PESQUISADORA</t>
  </si>
  <si>
    <t>Participação na REBRATS para atualizações e reuniões com o Ministério da Saúde.</t>
  </si>
  <si>
    <t>FRANCISCO JORGE QUADROS DE OLIVEIRA</t>
  </si>
  <si>
    <t>PRODESSOR PRECEPTOR - MEDICINA SOCIAL</t>
  </si>
  <si>
    <t>Participação do Fórum Internacional de Líderes de Educação Médica - América Latina (IMELF - LA)</t>
  </si>
  <si>
    <t>BSB X POA XBSB</t>
  </si>
  <si>
    <t>VIX X POA X VIX</t>
  </si>
  <si>
    <t>POA X BH X POA</t>
  </si>
  <si>
    <t>*** .250.957-**</t>
  </si>
  <si>
    <t>*** .077.910-**</t>
  </si>
  <si>
    <t>*** .134.025-**</t>
  </si>
  <si>
    <t>*** .250.827-**</t>
  </si>
  <si>
    <t>*** .191.703-**</t>
  </si>
  <si>
    <t>*** .301.850-**</t>
  </si>
  <si>
    <t>*** .304.630-**</t>
  </si>
  <si>
    <t>*** .019.300-**</t>
  </si>
  <si>
    <t>23092.014421/2023-36</t>
  </si>
  <si>
    <t>SIMONE FARIAS SALDIBIA DOS SANTOS</t>
  </si>
  <si>
    <t>***.398.790-**</t>
  </si>
  <si>
    <t>TECNICA NUTR. E DIET BCO DE LEITE</t>
  </si>
  <si>
    <t>Participação 80 anos do Banco de Leite Humano do IFF/ Fiocruz 80 anos de Bancos de Leite Humano no Brasil</t>
  </si>
  <si>
    <t>23092.013349/2023-20</t>
  </si>
  <si>
    <t>23092.014744/2023-20</t>
  </si>
  <si>
    <t>23092.014891/2023-08</t>
  </si>
  <si>
    <t>23092.014416/2023-23</t>
  </si>
  <si>
    <t>23092.012439/2023-01</t>
  </si>
  <si>
    <t>23092.012442/2023-17</t>
  </si>
  <si>
    <t>23092.012443/2023-61</t>
  </si>
  <si>
    <t>JOSÉ GERALDO LOPES RAMOS</t>
  </si>
  <si>
    <t>PROF. DE MEDICINA - PROF PRECEPTOR SV GINEC. E OBSTETRÍCIA.</t>
  </si>
  <si>
    <t>ANA PAULA COUTINHO</t>
  </si>
  <si>
    <t>ASSESSORA ADJUNTO EXECUTIVO</t>
  </si>
  <si>
    <t>LAIS MACIEL GUTERRES ZEILMANN</t>
  </si>
  <si>
    <t>COORDENADOR DE GESTÃO DOS NEGÓCIOS ASSISTENCIAIS</t>
  </si>
  <si>
    <t xml:space="preserve">CAROLINE ZIANI DALLA POZZA </t>
  </si>
  <si>
    <t xml:space="preserve">ASSESSORA ADJUNTO </t>
  </si>
  <si>
    <t>COORD. DE GESTÃO AUDITORIA INTERNA</t>
  </si>
  <si>
    <t>ANGELA BEATRIS PINTO</t>
  </si>
  <si>
    <t>ANALISTA DE AUDITORIA I</t>
  </si>
  <si>
    <t>GUSTAVO JOSÉ SOMM</t>
  </si>
  <si>
    <t>MÉDICO ANESTESIOLOGISTA I</t>
  </si>
  <si>
    <t>HELENA MULLER</t>
  </si>
  <si>
    <t>MÉDICO INTENSIVISTA PEDIÁTRICO II</t>
  </si>
  <si>
    <t>JANAINA CARLA FARIAS</t>
  </si>
  <si>
    <t>CONSELHEIRO FISCAL</t>
  </si>
  <si>
    <t>HILTON FERREIRA DOS SANTOS</t>
  </si>
  <si>
    <t>Participar do VI Congresso da Associação Brasileira de Hospitais Universitários e de Ensino - Abrahue.</t>
  </si>
  <si>
    <r>
      <t>Participar do </t>
    </r>
    <r>
      <rPr>
        <sz val="8"/>
        <color indexed="8"/>
        <rFont val="Calibri"/>
        <family val="2"/>
      </rPr>
      <t>CONAHP - 2023, visando atualização dos</t>
    </r>
    <r>
      <rPr>
        <sz val="8"/>
        <color indexed="63"/>
        <rFont val="Arial"/>
        <family val="2"/>
      </rPr>
      <t> conhecimentos, acompanhar as iniciativas do mercado em saúde suplementar, tecnologias e inovações, além de fortalecer parcerias público-privadas.</t>
    </r>
  </si>
  <si>
    <t>Participar no 43º CONBRAL</t>
  </si>
  <si>
    <t>Treinamento para facultados - Centro Internacional de Treinamento HCPA/AHA (American Heart)</t>
  </si>
  <si>
    <t>Reunião Ordinária Do Conselho Fiscal</t>
  </si>
  <si>
    <t>BSB X POA X FORTALEZA</t>
  </si>
  <si>
    <t>***.331.850-**</t>
  </si>
  <si>
    <t>*** .873.780-**</t>
  </si>
  <si>
    <t>*** .629.890-**</t>
  </si>
  <si>
    <t>*** .748.140-**</t>
  </si>
  <si>
    <t>***.782.909-**</t>
  </si>
  <si>
    <t>*** .125.660-**</t>
  </si>
  <si>
    <t>*** .801.990-**</t>
  </si>
  <si>
    <t>*** .575.000-**</t>
  </si>
  <si>
    <t>*** .721.420-**</t>
  </si>
  <si>
    <t>*** .331.850-**</t>
  </si>
  <si>
    <t>*** .228.033-**</t>
  </si>
  <si>
    <t>*** .668.631-**</t>
  </si>
  <si>
    <t>23092.016056/2023-02</t>
  </si>
  <si>
    <t>23092.015101/2023-01</t>
  </si>
  <si>
    <t>23092.016493/2023-18</t>
  </si>
  <si>
    <t>23092.016568/2023-61</t>
  </si>
  <si>
    <t>23092.015388/2023-61</t>
  </si>
  <si>
    <t>23092.015391/2023-85</t>
  </si>
  <si>
    <t>23092.016837/2023-99</t>
  </si>
  <si>
    <t>23092.017127/2023-86</t>
  </si>
  <si>
    <t>ASSESSOR ADJUNTO</t>
  </si>
  <si>
    <t>Representar Hospital para recebimento de Placa de Reconhecimento Prêmio Amigo do Meio Ambiente</t>
  </si>
  <si>
    <t>TAINÁ FLORES DA ROSA</t>
  </si>
  <si>
    <t>ENGENHEIRO DE GESTÃO AMBIENTAL II</t>
  </si>
  <si>
    <t>ASSESSOR PARA GESTÃO ESTRATÉGICA DE TI</t>
  </si>
  <si>
    <t>Participação no Simpósio de Evolução da Saúde Digital da Força Aérea Brasileira (evento em parceria da Comunidade AGHUse) e participação nas reuniões dos Comitês Estratégico e Técnico da Comunidade AGHUse.</t>
  </si>
  <si>
    <t>ANDRÁ MENA ÁVILA</t>
  </si>
  <si>
    <t>COORD. GESTÃO TECNOL. INFORM. E COMUNICAÇÃO</t>
  </si>
  <si>
    <t>DIRETORA-PRESIDENTE</t>
  </si>
  <si>
    <t>ALINE LOPES MORAES</t>
  </si>
  <si>
    <t>FÍSICO DE IMAGEM I</t>
  </si>
  <si>
    <t>MARINA DELAZZERI</t>
  </si>
  <si>
    <t>CHEFE  SERV. DE SUSTENTAÇÃO E RELACIONAMENTO</t>
  </si>
  <si>
    <t>SAULO CHAVES DE AQUINO</t>
  </si>
  <si>
    <t>SUPERVISOR DE SUSTENTAÇÃO E REL. EXTERNO</t>
  </si>
  <si>
    <t>LÚCIA CAYE</t>
  </si>
  <si>
    <t>ANALISTA DE NEGÓCIO III</t>
  </si>
  <si>
    <t>JOSÉ EDUARDO BUENO DE OLIVEIRA</t>
  </si>
  <si>
    <t>DIRETOR DO DPTO. DE INFORMAÇÃO E INFORMÁTICA SUS-DATASUS/SEIDIGI/MS</t>
  </si>
  <si>
    <t>Participar da reunião das Secretarias Estaduais de Saúde para apresentação do sistema AGHUse e processos de trabalho do HCPA.</t>
  </si>
  <si>
    <t>LISIA VON DIEMEN</t>
  </si>
  <si>
    <t>Participação no Lançamento do Caderno de Debates “Bebidas Alcoólicas: disponibilidade, Marketing e Desafios Regulatórios” e à reunião técnica para o planejamento de ações voltadas para a redução dos danos associados ao álcool no Brasil</t>
  </si>
  <si>
    <t>***.927.680-**</t>
  </si>
  <si>
    <t>***.397.590-**</t>
  </si>
  <si>
    <t>***.077.880-**</t>
  </si>
  <si>
    <t>***.038.960-**</t>
  </si>
  <si>
    <t>***.762..800-**</t>
  </si>
  <si>
    <t>***.369.880-**</t>
  </si>
  <si>
    <t>***.157.050-**</t>
  </si>
  <si>
    <t>23092.018341/2023-50</t>
  </si>
  <si>
    <t>Assembleia Geral Extraordinária nº 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</si>
</sst>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  <numFmt numFmtId="168" formatCode="000000000\-00"/>
  </numFmts>
  <fonts count="53">
    <font>
      <sz val="11"/>
      <color theme="1"/>
      <name val="Arial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4"/>
      <color rgb="FF000000"/>
      <name val="Inconsolata"/>
    </font>
    <font>
      <sz val="10"/>
      <name val="Arial"/>
      <family val="2"/>
    </font>
    <font>
      <sz val="14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rgb="FF22222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rgb="FFFF0000"/>
      <name val="Arial"/>
      <family val="2"/>
    </font>
    <font>
      <sz val="8"/>
      <color rgb="FF222222"/>
      <name val="Arial"/>
      <family val="2"/>
    </font>
    <font>
      <sz val="8"/>
      <color rgb="FFFF0000"/>
      <name val="Arial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color indexed="8"/>
      <name val="Calibri"/>
      <family val="2"/>
    </font>
    <font>
      <sz val="8"/>
      <color indexed="6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2DCDB"/>
        <bgColor rgb="FFFDE9D9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theme="2" tint="-0.14999847407452621"/>
        <bgColor rgb="FFEAF1DD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50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/>
    <xf numFmtId="164" fontId="10" fillId="0" borderId="0" xfId="0" applyNumberFormat="1" applyFont="1"/>
    <xf numFmtId="164" fontId="8" fillId="6" borderId="5" xfId="0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6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19" fillId="9" borderId="6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/>
    </xf>
    <xf numFmtId="164" fontId="17" fillId="0" borderId="7" xfId="0" applyNumberFormat="1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0" fontId="1" fillId="9" borderId="6" xfId="0" applyFont="1" applyFill="1" applyBorder="1"/>
    <xf numFmtId="0" fontId="22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8" fillId="9" borderId="11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166" fontId="8" fillId="0" borderId="13" xfId="0" applyNumberFormat="1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4" fontId="8" fillId="9" borderId="13" xfId="0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vertical="center"/>
    </xf>
    <xf numFmtId="164" fontId="8" fillId="10" borderId="13" xfId="0" applyNumberFormat="1" applyFont="1" applyFill="1" applyBorder="1" applyAlignment="1">
      <alignment horizontal="center" vertical="center"/>
    </xf>
    <xf numFmtId="164" fontId="8" fillId="11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166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3" fillId="0" borderId="0" xfId="0" applyNumberFormat="1" applyFont="1"/>
    <xf numFmtId="164" fontId="8" fillId="0" borderId="0" xfId="0" applyNumberFormat="1" applyFont="1" applyAlignment="1">
      <alignment vertical="center"/>
    </xf>
    <xf numFmtId="164" fontId="13" fillId="10" borderId="6" xfId="0" applyNumberFormat="1" applyFont="1" applyFill="1" applyBorder="1" applyAlignment="1">
      <alignment horizontal="center" vertical="center"/>
    </xf>
    <xf numFmtId="164" fontId="13" fillId="11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164" fontId="13" fillId="12" borderId="4" xfId="0" applyNumberFormat="1" applyFont="1" applyFill="1" applyBorder="1"/>
    <xf numFmtId="164" fontId="27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3" fillId="0" borderId="0" xfId="0" applyFont="1"/>
    <xf numFmtId="0" fontId="12" fillId="0" borderId="13" xfId="0" applyFont="1" applyBorder="1" applyAlignment="1">
      <alignment horizontal="left" wrapText="1"/>
    </xf>
    <xf numFmtId="164" fontId="13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6" fontId="28" fillId="0" borderId="13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9" fillId="7" borderId="0" xfId="0" applyFont="1" applyFill="1" applyAlignment="1">
      <alignment horizontal="center"/>
    </xf>
    <xf numFmtId="0" fontId="23" fillId="6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shrinkToFit="1"/>
    </xf>
    <xf numFmtId="0" fontId="23" fillId="6" borderId="18" xfId="0" applyFont="1" applyFill="1" applyBorder="1" applyAlignment="1">
      <alignment horizontal="center" vertical="center" shrinkToFi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164" fontId="2" fillId="6" borderId="18" xfId="0" applyNumberFormat="1" applyFont="1" applyFill="1" applyBorder="1" applyAlignment="1">
      <alignment horizontal="center" vertical="center" wrapText="1"/>
    </xf>
    <xf numFmtId="164" fontId="2" fillId="6" borderId="22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164" fontId="13" fillId="10" borderId="6" xfId="0" applyNumberFormat="1" applyFont="1" applyFill="1" applyBorder="1" applyAlignment="1">
      <alignment vertical="center"/>
    </xf>
    <xf numFmtId="164" fontId="13" fillId="11" borderId="6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24" fillId="0" borderId="13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4" fillId="0" borderId="25" xfId="0" applyFont="1" applyFill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35" fillId="0" borderId="25" xfId="0" applyFont="1" applyFill="1" applyBorder="1" applyAlignment="1">
      <alignment horizontal="center"/>
    </xf>
    <xf numFmtId="0" fontId="36" fillId="0" borderId="25" xfId="0" applyFont="1" applyBorder="1" applyAlignment="1">
      <alignment horizontal="center" wrapText="1"/>
    </xf>
    <xf numFmtId="0" fontId="35" fillId="0" borderId="25" xfId="0" applyFont="1" applyFill="1" applyBorder="1" applyAlignment="1">
      <alignment horizontal="center" wrapText="1"/>
    </xf>
    <xf numFmtId="167" fontId="37" fillId="0" borderId="25" xfId="0" applyNumberFormat="1" applyFont="1" applyFill="1" applyBorder="1" applyAlignment="1">
      <alignment horizontal="center"/>
    </xf>
    <xf numFmtId="0" fontId="35" fillId="0" borderId="25" xfId="0" applyNumberFormat="1" applyFont="1" applyFill="1" applyBorder="1" applyAlignment="1">
      <alignment horizontal="center"/>
    </xf>
    <xf numFmtId="43" fontId="34" fillId="13" borderId="25" xfId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shrinkToFi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shrinkToFit="1"/>
    </xf>
    <xf numFmtId="0" fontId="34" fillId="0" borderId="27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35" fillId="0" borderId="27" xfId="0" applyFont="1" applyFill="1" applyBorder="1" applyAlignment="1">
      <alignment horizontal="center" wrapText="1"/>
    </xf>
    <xf numFmtId="167" fontId="37" fillId="0" borderId="27" xfId="0" applyNumberFormat="1" applyFont="1" applyFill="1" applyBorder="1" applyAlignment="1">
      <alignment horizontal="center"/>
    </xf>
    <xf numFmtId="0" fontId="35" fillId="0" borderId="27" xfId="0" applyNumberFormat="1" applyFont="1" applyFill="1" applyBorder="1" applyAlignment="1">
      <alignment horizontal="center"/>
    </xf>
    <xf numFmtId="164" fontId="8" fillId="9" borderId="29" xfId="0" applyNumberFormat="1" applyFont="1" applyFill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43" fontId="34" fillId="13" borderId="27" xfId="1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shrinkToFit="1"/>
    </xf>
    <xf numFmtId="164" fontId="2" fillId="0" borderId="32" xfId="0" applyNumberFormat="1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/>
    </xf>
    <xf numFmtId="0" fontId="36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35" fillId="0" borderId="34" xfId="0" applyFont="1" applyFill="1" applyBorder="1" applyAlignment="1">
      <alignment horizontal="center" wrapText="1"/>
    </xf>
    <xf numFmtId="167" fontId="37" fillId="0" borderId="34" xfId="0" applyNumberFormat="1" applyFont="1" applyFill="1" applyBorder="1" applyAlignment="1">
      <alignment horizontal="center"/>
    </xf>
    <xf numFmtId="0" fontId="35" fillId="0" borderId="34" xfId="0" applyFont="1" applyFill="1" applyBorder="1" applyAlignment="1">
      <alignment horizontal="center"/>
    </xf>
    <xf numFmtId="0" fontId="35" fillId="0" borderId="34" xfId="0" applyNumberFormat="1" applyFont="1" applyFill="1" applyBorder="1" applyAlignment="1">
      <alignment horizontal="center"/>
    </xf>
    <xf numFmtId="164" fontId="8" fillId="9" borderId="35" xfId="0" applyNumberFormat="1" applyFont="1" applyFill="1" applyBorder="1" applyAlignment="1">
      <alignment vertical="center"/>
    </xf>
    <xf numFmtId="164" fontId="10" fillId="0" borderId="35" xfId="0" applyNumberFormat="1" applyFont="1" applyBorder="1" applyAlignment="1">
      <alignment vertical="center"/>
    </xf>
    <xf numFmtId="43" fontId="34" fillId="13" borderId="34" xfId="1" applyFont="1" applyFill="1" applyBorder="1" applyAlignment="1">
      <alignment horizontal="center" vertical="center"/>
    </xf>
    <xf numFmtId="43" fontId="34" fillId="14" borderId="34" xfId="1" applyFont="1" applyFill="1" applyBorder="1" applyAlignment="1">
      <alignment horizontal="center" vertical="center"/>
    </xf>
    <xf numFmtId="164" fontId="2" fillId="0" borderId="3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8" fillId="0" borderId="35" xfId="0" applyFont="1" applyBorder="1" applyAlignment="1">
      <alignment horizontal="center"/>
    </xf>
    <xf numFmtId="0" fontId="24" fillId="0" borderId="35" xfId="0" applyFont="1" applyBorder="1" applyAlignment="1">
      <alignment horizontal="center" wrapText="1"/>
    </xf>
    <xf numFmtId="0" fontId="26" fillId="0" borderId="35" xfId="0" applyFont="1" applyBorder="1" applyAlignment="1">
      <alignment horizontal="center"/>
    </xf>
    <xf numFmtId="164" fontId="8" fillId="10" borderId="35" xfId="0" applyNumberFormat="1" applyFont="1" applyFill="1" applyBorder="1" applyAlignment="1">
      <alignment horizontal="center" vertical="center"/>
    </xf>
    <xf numFmtId="164" fontId="8" fillId="11" borderId="35" xfId="0" applyNumberFormat="1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164" fontId="2" fillId="6" borderId="38" xfId="0" applyNumberFormat="1" applyFont="1" applyFill="1" applyBorder="1" applyAlignment="1">
      <alignment horizontal="center" vertical="center" wrapText="1"/>
    </xf>
    <xf numFmtId="164" fontId="2" fillId="6" borderId="17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 wrapText="1"/>
    </xf>
    <xf numFmtId="0" fontId="12" fillId="0" borderId="29" xfId="0" applyFont="1" applyBorder="1" applyAlignment="1">
      <alignment horizontal="center"/>
    </xf>
    <xf numFmtId="164" fontId="8" fillId="10" borderId="29" xfId="0" applyNumberFormat="1" applyFont="1" applyFill="1" applyBorder="1" applyAlignment="1">
      <alignment horizontal="center" vertical="center"/>
    </xf>
    <xf numFmtId="164" fontId="8" fillId="11" borderId="29" xfId="0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wrapText="1"/>
    </xf>
    <xf numFmtId="0" fontId="12" fillId="0" borderId="35" xfId="0" applyFont="1" applyBorder="1" applyAlignment="1">
      <alignment horizontal="left"/>
    </xf>
    <xf numFmtId="166" fontId="8" fillId="0" borderId="35" xfId="0" applyNumberFormat="1" applyFont="1" applyBorder="1" applyAlignment="1">
      <alignment horizontal="center"/>
    </xf>
    <xf numFmtId="164" fontId="8" fillId="0" borderId="35" xfId="0" applyNumberFormat="1" applyFont="1" applyBorder="1" applyAlignment="1">
      <alignment vertical="center"/>
    </xf>
    <xf numFmtId="0" fontId="2" fillId="6" borderId="38" xfId="0" applyFont="1" applyFill="1" applyBorder="1" applyAlignment="1">
      <alignment horizontal="center" vertical="center" shrinkToFit="1"/>
    </xf>
    <xf numFmtId="0" fontId="2" fillId="6" borderId="21" xfId="0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right"/>
    </xf>
    <xf numFmtId="0" fontId="0" fillId="0" borderId="6" xfId="0" applyFont="1" applyBorder="1"/>
    <xf numFmtId="0" fontId="12" fillId="5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164" fontId="13" fillId="0" borderId="6" xfId="0" applyNumberFormat="1" applyFont="1" applyBorder="1"/>
    <xf numFmtId="164" fontId="13" fillId="0" borderId="6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wrapText="1"/>
    </xf>
    <xf numFmtId="0" fontId="8" fillId="0" borderId="29" xfId="0" applyFont="1" applyBorder="1" applyAlignment="1">
      <alignment horizontal="center" wrapText="1"/>
    </xf>
    <xf numFmtId="0" fontId="24" fillId="0" borderId="28" xfId="0" applyFont="1" applyBorder="1" applyAlignment="1">
      <alignment horizontal="center" wrapText="1"/>
    </xf>
    <xf numFmtId="166" fontId="8" fillId="0" borderId="29" xfId="0" applyNumberFormat="1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164" fontId="10" fillId="0" borderId="29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 wrapText="1"/>
    </xf>
    <xf numFmtId="0" fontId="8" fillId="0" borderId="35" xfId="0" applyFont="1" applyBorder="1" applyAlignment="1">
      <alignment horizontal="center" wrapText="1"/>
    </xf>
    <xf numFmtId="0" fontId="24" fillId="0" borderId="40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164" fontId="2" fillId="0" borderId="41" xfId="0" applyNumberFormat="1" applyFont="1" applyBorder="1" applyAlignment="1">
      <alignment vertical="center" wrapText="1"/>
    </xf>
    <xf numFmtId="0" fontId="30" fillId="0" borderId="3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wrapText="1"/>
    </xf>
    <xf numFmtId="164" fontId="2" fillId="0" borderId="42" xfId="0" applyNumberFormat="1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shrinkToFit="1"/>
    </xf>
    <xf numFmtId="164" fontId="2" fillId="0" borderId="44" xfId="0" applyNumberFormat="1" applyFont="1" applyBorder="1" applyAlignment="1">
      <alignment vertical="center" wrapText="1"/>
    </xf>
    <xf numFmtId="0" fontId="12" fillId="0" borderId="45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2" fillId="6" borderId="46" xfId="0" applyFont="1" applyFill="1" applyBorder="1" applyAlignment="1">
      <alignment horizontal="center" vertical="center" shrinkToFit="1"/>
    </xf>
    <xf numFmtId="0" fontId="23" fillId="6" borderId="47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shrinkToFit="1"/>
    </xf>
    <xf numFmtId="0" fontId="23" fillId="6" borderId="47" xfId="0" applyFont="1" applyFill="1" applyBorder="1" applyAlignment="1">
      <alignment horizontal="center" vertical="center" shrinkToFit="1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164" fontId="2" fillId="6" borderId="48" xfId="0" applyNumberFormat="1" applyFont="1" applyFill="1" applyBorder="1" applyAlignment="1">
      <alignment horizontal="center" vertical="center" wrapText="1"/>
    </xf>
    <xf numFmtId="164" fontId="2" fillId="6" borderId="47" xfId="0" applyNumberFormat="1" applyFont="1" applyFill="1" applyBorder="1" applyAlignment="1">
      <alignment horizontal="center" vertical="center" wrapText="1"/>
    </xf>
    <xf numFmtId="164" fontId="2" fillId="6" borderId="52" xfId="0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 vertical="center" shrinkToFit="1"/>
    </xf>
    <xf numFmtId="0" fontId="35" fillId="0" borderId="6" xfId="0" applyFont="1" applyFill="1" applyBorder="1" applyAlignment="1">
      <alignment horizontal="center" wrapText="1"/>
    </xf>
    <xf numFmtId="167" fontId="37" fillId="0" borderId="6" xfId="0" applyNumberFormat="1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/>
    </xf>
    <xf numFmtId="0" fontId="35" fillId="0" borderId="6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shrinkToFit="1"/>
    </xf>
    <xf numFmtId="0" fontId="1" fillId="15" borderId="6" xfId="0" applyFont="1" applyFill="1" applyBorder="1"/>
    <xf numFmtId="0" fontId="1" fillId="15" borderId="6" xfId="0" applyFont="1" applyFill="1" applyBorder="1" applyAlignment="1">
      <alignment horizontal="left"/>
    </xf>
    <xf numFmtId="43" fontId="34" fillId="0" borderId="25" xfId="1" applyFont="1" applyFill="1" applyBorder="1" applyAlignment="1">
      <alignment vertical="center"/>
    </xf>
    <xf numFmtId="43" fontId="34" fillId="0" borderId="27" xfId="1" applyFont="1" applyFill="1" applyBorder="1" applyAlignment="1">
      <alignment vertical="center"/>
    </xf>
    <xf numFmtId="164" fontId="8" fillId="16" borderId="11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wrapText="1"/>
    </xf>
    <xf numFmtId="0" fontId="2" fillId="9" borderId="55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4" fontId="2" fillId="10" borderId="48" xfId="0" applyNumberFormat="1" applyFont="1" applyFill="1" applyBorder="1" applyAlignment="1">
      <alignment horizontal="center" vertical="center" wrapText="1"/>
    </xf>
    <xf numFmtId="164" fontId="2" fillId="11" borderId="47" xfId="0" applyNumberFormat="1" applyFont="1" applyFill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12" fillId="17" borderId="4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wrapText="1"/>
    </xf>
    <xf numFmtId="0" fontId="8" fillId="3" borderId="57" xfId="0" applyFont="1" applyFill="1" applyBorder="1" applyAlignment="1">
      <alignment horizontal="center"/>
    </xf>
    <xf numFmtId="0" fontId="8" fillId="3" borderId="59" xfId="0" applyFont="1" applyFill="1" applyBorder="1" applyAlignment="1">
      <alignment horizontal="center"/>
    </xf>
    <xf numFmtId="164" fontId="8" fillId="6" borderId="60" xfId="0" applyNumberFormat="1" applyFont="1" applyFill="1" applyBorder="1" applyAlignment="1">
      <alignment vertical="center"/>
    </xf>
    <xf numFmtId="164" fontId="8" fillId="6" borderId="6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vertical="center"/>
    </xf>
    <xf numFmtId="43" fontId="39" fillId="14" borderId="6" xfId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4" fontId="9" fillId="18" borderId="56" xfId="0" applyNumberFormat="1" applyFont="1" applyFill="1" applyBorder="1" applyAlignment="1">
      <alignment vertical="center" wrapText="1"/>
    </xf>
    <xf numFmtId="164" fontId="9" fillId="18" borderId="58" xfId="0" applyNumberFormat="1" applyFont="1" applyFill="1" applyBorder="1" applyAlignment="1">
      <alignment vertical="center" wrapText="1"/>
    </xf>
    <xf numFmtId="164" fontId="13" fillId="19" borderId="4" xfId="0" applyNumberFormat="1" applyFont="1" applyFill="1" applyBorder="1"/>
    <xf numFmtId="164" fontId="13" fillId="19" borderId="4" xfId="0" applyNumberFormat="1" applyFont="1" applyFill="1" applyBorder="1" applyAlignment="1">
      <alignment horizontal="left"/>
    </xf>
    <xf numFmtId="164" fontId="13" fillId="19" borderId="4" xfId="0" applyNumberFormat="1" applyFont="1" applyFill="1" applyBorder="1" applyAlignment="1">
      <alignment horizontal="center" vertical="center"/>
    </xf>
    <xf numFmtId="43" fontId="34" fillId="20" borderId="25" xfId="1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164" fontId="8" fillId="0" borderId="11" xfId="0" applyNumberFormat="1" applyFont="1" applyBorder="1" applyAlignment="1">
      <alignment vertical="center"/>
    </xf>
    <xf numFmtId="164" fontId="2" fillId="0" borderId="62" xfId="0" applyNumberFormat="1" applyFont="1" applyBorder="1" applyAlignment="1">
      <alignment vertical="center" wrapText="1"/>
    </xf>
    <xf numFmtId="0" fontId="2" fillId="9" borderId="50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center" vertical="center" wrapText="1"/>
    </xf>
    <xf numFmtId="164" fontId="2" fillId="4" borderId="47" xfId="0" applyNumberFormat="1" applyFont="1" applyFill="1" applyBorder="1" applyAlignment="1">
      <alignment horizontal="center" vertical="center" wrapText="1"/>
    </xf>
    <xf numFmtId="164" fontId="2" fillId="4" borderId="64" xfId="0" applyNumberFormat="1" applyFont="1" applyFill="1" applyBorder="1" applyAlignment="1">
      <alignment horizontal="center" vertical="center" wrapText="1"/>
    </xf>
    <xf numFmtId="164" fontId="8" fillId="6" borderId="65" xfId="0" applyNumberFormat="1" applyFont="1" applyFill="1" applyBorder="1" applyAlignment="1">
      <alignment vertical="center"/>
    </xf>
    <xf numFmtId="164" fontId="8" fillId="6" borderId="66" xfId="0" applyNumberFormat="1" applyFont="1" applyFill="1" applyBorder="1" applyAlignment="1">
      <alignment vertical="center"/>
    </xf>
    <xf numFmtId="0" fontId="0" fillId="0" borderId="0" xfId="0" applyFont="1" applyAlignment="1"/>
    <xf numFmtId="0" fontId="36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34" fillId="0" borderId="34" xfId="1" applyFont="1" applyFill="1" applyBorder="1" applyAlignment="1">
      <alignment vertical="center"/>
    </xf>
    <xf numFmtId="0" fontId="34" fillId="21" borderId="67" xfId="0" applyFont="1" applyFill="1" applyBorder="1" applyAlignment="1">
      <alignment horizontal="center"/>
    </xf>
    <xf numFmtId="0" fontId="2" fillId="6" borderId="68" xfId="0" applyFont="1" applyFill="1" applyBorder="1" applyAlignment="1">
      <alignment horizontal="center" vertical="center" shrinkToFit="1"/>
    </xf>
    <xf numFmtId="0" fontId="23" fillId="6" borderId="69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shrinkToFit="1"/>
    </xf>
    <xf numFmtId="0" fontId="2" fillId="6" borderId="69" xfId="0" applyFont="1" applyFill="1" applyBorder="1" applyAlignment="1">
      <alignment horizontal="center" vertical="center" shrinkToFit="1"/>
    </xf>
    <xf numFmtId="0" fontId="23" fillId="6" borderId="69" xfId="0" applyFont="1" applyFill="1" applyBorder="1" applyAlignment="1">
      <alignment horizontal="center" vertical="center" shrinkToFit="1"/>
    </xf>
    <xf numFmtId="0" fontId="2" fillId="6" borderId="71" xfId="0" applyFont="1" applyFill="1" applyBorder="1" applyAlignment="1">
      <alignment horizontal="center" vertical="center" wrapText="1"/>
    </xf>
    <xf numFmtId="0" fontId="2" fillId="6" borderId="72" xfId="0" applyFont="1" applyFill="1" applyBorder="1" applyAlignment="1">
      <alignment horizontal="center" vertical="center" wrapText="1"/>
    </xf>
    <xf numFmtId="0" fontId="2" fillId="6" borderId="69" xfId="0" applyFont="1" applyFill="1" applyBorder="1" applyAlignment="1">
      <alignment horizontal="center" vertical="center" wrapText="1"/>
    </xf>
    <xf numFmtId="164" fontId="2" fillId="6" borderId="28" xfId="0" applyNumberFormat="1" applyFont="1" applyFill="1" applyBorder="1" applyAlignment="1">
      <alignment horizontal="center" vertical="center" wrapText="1"/>
    </xf>
    <xf numFmtId="164" fontId="2" fillId="6" borderId="69" xfId="0" applyNumberFormat="1" applyFont="1" applyFill="1" applyBorder="1" applyAlignment="1">
      <alignment horizontal="center" vertical="center" wrapText="1"/>
    </xf>
    <xf numFmtId="164" fontId="2" fillId="6" borderId="73" xfId="0" applyNumberFormat="1" applyFont="1" applyFill="1" applyBorder="1" applyAlignment="1">
      <alignment horizontal="center" vertical="center" wrapText="1"/>
    </xf>
    <xf numFmtId="0" fontId="2" fillId="9" borderId="74" xfId="0" applyFont="1" applyFill="1" applyBorder="1" applyAlignment="1">
      <alignment horizontal="center" vertical="center" wrapText="1"/>
    </xf>
    <xf numFmtId="0" fontId="2" fillId="9" borderId="72" xfId="0" applyFont="1" applyFill="1" applyBorder="1" applyAlignment="1">
      <alignment horizontal="center" vertical="center" wrapText="1"/>
    </xf>
    <xf numFmtId="0" fontId="2" fillId="9" borderId="69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164" fontId="2" fillId="10" borderId="28" xfId="0" applyNumberFormat="1" applyFont="1" applyFill="1" applyBorder="1" applyAlignment="1">
      <alignment horizontal="center" vertical="center" wrapText="1"/>
    </xf>
    <xf numFmtId="164" fontId="2" fillId="11" borderId="69" xfId="0" applyNumberFormat="1" applyFont="1" applyFill="1" applyBorder="1" applyAlignment="1">
      <alignment horizontal="center" vertical="center" wrapText="1"/>
    </xf>
    <xf numFmtId="164" fontId="2" fillId="0" borderId="73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wrapText="1"/>
    </xf>
    <xf numFmtId="164" fontId="8" fillId="16" borderId="27" xfId="0" applyNumberFormat="1" applyFont="1" applyFill="1" applyBorder="1" applyAlignment="1">
      <alignment vertical="center"/>
    </xf>
    <xf numFmtId="164" fontId="2" fillId="0" borderId="75" xfId="0" applyNumberFormat="1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wrapText="1"/>
    </xf>
    <xf numFmtId="164" fontId="8" fillId="16" borderId="34" xfId="0" applyNumberFormat="1" applyFont="1" applyFill="1" applyBorder="1" applyAlignment="1">
      <alignment vertical="center"/>
    </xf>
    <xf numFmtId="164" fontId="2" fillId="0" borderId="77" xfId="0" applyNumberFormat="1" applyFont="1" applyBorder="1" applyAlignment="1">
      <alignment vertical="center" wrapText="1"/>
    </xf>
    <xf numFmtId="0" fontId="38" fillId="0" borderId="78" xfId="0" applyFont="1" applyBorder="1" applyAlignment="1">
      <alignment horizontal="center"/>
    </xf>
    <xf numFmtId="0" fontId="36" fillId="0" borderId="78" xfId="0" applyFont="1" applyBorder="1" applyAlignment="1">
      <alignment wrapText="1"/>
    </xf>
    <xf numFmtId="0" fontId="7" fillId="0" borderId="79" xfId="0" applyFont="1" applyBorder="1" applyAlignment="1">
      <alignment horizontal="center" vertical="center" shrinkToFit="1"/>
    </xf>
    <xf numFmtId="0" fontId="34" fillId="0" borderId="80" xfId="0" applyFont="1" applyFill="1" applyBorder="1" applyAlignment="1">
      <alignment horizontal="center"/>
    </xf>
    <xf numFmtId="0" fontId="35" fillId="0" borderId="80" xfId="0" applyFont="1" applyFill="1" applyBorder="1" applyAlignment="1">
      <alignment horizontal="left"/>
    </xf>
    <xf numFmtId="0" fontId="35" fillId="0" borderId="80" xfId="0" applyFont="1" applyFill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35" fillId="0" borderId="80" xfId="0" applyFont="1" applyFill="1" applyBorder="1" applyAlignment="1">
      <alignment horizontal="center" wrapText="1"/>
    </xf>
    <xf numFmtId="167" fontId="37" fillId="0" borderId="80" xfId="0" applyNumberFormat="1" applyFont="1" applyFill="1" applyBorder="1" applyAlignment="1">
      <alignment horizontal="center"/>
    </xf>
    <xf numFmtId="0" fontId="35" fillId="0" borderId="80" xfId="0" applyNumberFormat="1" applyFont="1" applyFill="1" applyBorder="1" applyAlignment="1">
      <alignment horizontal="center"/>
    </xf>
    <xf numFmtId="43" fontId="34" fillId="0" borderId="80" xfId="1" applyFont="1" applyFill="1" applyBorder="1" applyAlignment="1">
      <alignment vertical="center"/>
    </xf>
    <xf numFmtId="164" fontId="8" fillId="9" borderId="40" xfId="0" applyNumberFormat="1" applyFont="1" applyFill="1" applyBorder="1" applyAlignment="1">
      <alignment vertical="center"/>
    </xf>
    <xf numFmtId="164" fontId="8" fillId="0" borderId="40" xfId="0" applyNumberFormat="1" applyFont="1" applyBorder="1" applyAlignment="1">
      <alignment vertical="center"/>
    </xf>
    <xf numFmtId="43" fontId="34" fillId="13" borderId="80" xfId="1" applyFont="1" applyFill="1" applyBorder="1" applyAlignment="1">
      <alignment horizontal="center" vertical="center"/>
    </xf>
    <xf numFmtId="43" fontId="34" fillId="20" borderId="80" xfId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6" xfId="0" applyFont="1" applyBorder="1"/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/>
    </xf>
    <xf numFmtId="167" fontId="45" fillId="0" borderId="25" xfId="0" applyNumberFormat="1" applyFont="1" applyFill="1" applyBorder="1" applyAlignment="1">
      <alignment horizontal="center"/>
    </xf>
    <xf numFmtId="43" fontId="34" fillId="0" borderId="25" xfId="1" applyFont="1" applyFill="1" applyBorder="1" applyAlignment="1">
      <alignment horizontal="center"/>
    </xf>
    <xf numFmtId="43" fontId="34" fillId="20" borderId="25" xfId="1" applyFont="1" applyFill="1" applyBorder="1" applyAlignment="1">
      <alignment horizontal="center"/>
    </xf>
    <xf numFmtId="0" fontId="35" fillId="0" borderId="25" xfId="0" applyFont="1" applyBorder="1" applyAlignment="1">
      <alignment horizontal="center" wrapText="1"/>
    </xf>
    <xf numFmtId="0" fontId="36" fillId="0" borderId="81" xfId="0" applyFont="1" applyBorder="1" applyAlignment="1">
      <alignment horizontal="center"/>
    </xf>
    <xf numFmtId="0" fontId="47" fillId="0" borderId="25" xfId="0" applyFont="1" applyFill="1" applyBorder="1" applyAlignment="1">
      <alignment horizontal="center"/>
    </xf>
    <xf numFmtId="0" fontId="47" fillId="0" borderId="25" xfId="0" applyNumberFormat="1" applyFont="1" applyFill="1" applyBorder="1" applyAlignment="1">
      <alignment horizontal="center"/>
    </xf>
    <xf numFmtId="0" fontId="2" fillId="6" borderId="82" xfId="0" applyFont="1" applyFill="1" applyBorder="1" applyAlignment="1">
      <alignment horizontal="center" vertical="center" shrinkToFit="1"/>
    </xf>
    <xf numFmtId="0" fontId="36" fillId="0" borderId="6" xfId="0" applyFont="1" applyBorder="1" applyAlignment="1">
      <alignment horizontal="center"/>
    </xf>
    <xf numFmtId="0" fontId="2" fillId="6" borderId="83" xfId="0" applyFont="1" applyFill="1" applyBorder="1" applyAlignment="1">
      <alignment horizontal="center" vertical="center" shrinkToFit="1"/>
    </xf>
    <xf numFmtId="0" fontId="2" fillId="6" borderId="63" xfId="0" applyFont="1" applyFill="1" applyBorder="1" applyAlignment="1">
      <alignment horizontal="center" vertical="center" shrinkToFit="1"/>
    </xf>
    <xf numFmtId="0" fontId="23" fillId="6" borderId="49" xfId="0" applyFont="1" applyFill="1" applyBorder="1" applyAlignment="1">
      <alignment horizontal="center" vertical="center" shrinkToFit="1"/>
    </xf>
    <xf numFmtId="0" fontId="2" fillId="6" borderId="84" xfId="0" applyFont="1" applyFill="1" applyBorder="1" applyAlignment="1">
      <alignment horizontal="center" vertical="center" shrinkToFit="1"/>
    </xf>
    <xf numFmtId="164" fontId="2" fillId="6" borderId="82" xfId="0" applyNumberFormat="1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2" fillId="0" borderId="25" xfId="0" applyFont="1" applyBorder="1" applyAlignment="1">
      <alignment horizontal="center"/>
    </xf>
    <xf numFmtId="0" fontId="34" fillId="22" borderId="25" xfId="0" applyFont="1" applyFill="1" applyBorder="1" applyAlignment="1">
      <alignment horizontal="center"/>
    </xf>
    <xf numFmtId="43" fontId="34" fillId="0" borderId="25" xfId="1" applyFont="1" applyFill="1" applyBorder="1" applyAlignment="1"/>
    <xf numFmtId="43" fontId="34" fillId="13" borderId="25" xfId="1" applyFont="1" applyFill="1" applyBorder="1" applyAlignment="1">
      <alignment horizontal="center"/>
    </xf>
    <xf numFmtId="43" fontId="34" fillId="0" borderId="25" xfId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wrapText="1"/>
    </xf>
    <xf numFmtId="0" fontId="36" fillId="0" borderId="28" xfId="0" applyFont="1" applyBorder="1" applyAlignment="1">
      <alignment horizontal="center"/>
    </xf>
    <xf numFmtId="0" fontId="36" fillId="0" borderId="27" xfId="0" applyFont="1" applyBorder="1"/>
    <xf numFmtId="167" fontId="45" fillId="0" borderId="27" xfId="0" applyNumberFormat="1" applyFont="1" applyFill="1" applyBorder="1" applyAlignment="1">
      <alignment horizontal="center"/>
    </xf>
    <xf numFmtId="43" fontId="34" fillId="0" borderId="27" xfId="1" applyFont="1" applyFill="1" applyBorder="1" applyAlignment="1"/>
    <xf numFmtId="43" fontId="34" fillId="0" borderId="27" xfId="1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34" fillId="22" borderId="34" xfId="0" applyFont="1" applyFill="1" applyBorder="1" applyAlignment="1">
      <alignment horizontal="center"/>
    </xf>
    <xf numFmtId="167" fontId="45" fillId="0" borderId="34" xfId="0" applyNumberFormat="1" applyFont="1" applyFill="1" applyBorder="1" applyAlignment="1">
      <alignment horizontal="center"/>
    </xf>
    <xf numFmtId="43" fontId="34" fillId="0" borderId="34" xfId="1" applyFont="1" applyFill="1" applyBorder="1" applyAlignment="1"/>
    <xf numFmtId="43" fontId="34" fillId="0" borderId="34" xfId="1" applyFont="1" applyFill="1" applyBorder="1" applyAlignment="1">
      <alignment horizontal="center"/>
    </xf>
    <xf numFmtId="43" fontId="34" fillId="13" borderId="34" xfId="1" applyFont="1" applyFill="1" applyBorder="1" applyAlignment="1">
      <alignment horizontal="center"/>
    </xf>
    <xf numFmtId="43" fontId="34" fillId="20" borderId="34" xfId="1" applyFont="1" applyFill="1" applyBorder="1" applyAlignment="1">
      <alignment horizontal="center"/>
    </xf>
    <xf numFmtId="164" fontId="2" fillId="0" borderId="30" xfId="0" applyNumberFormat="1" applyFont="1" applyBorder="1" applyAlignment="1">
      <alignment wrapText="1"/>
    </xf>
    <xf numFmtId="164" fontId="2" fillId="0" borderId="39" xfId="0" applyNumberFormat="1" applyFont="1" applyBorder="1" applyAlignment="1">
      <alignment wrapText="1"/>
    </xf>
    <xf numFmtId="164" fontId="2" fillId="0" borderId="36" xfId="0" applyNumberFormat="1" applyFont="1" applyBorder="1" applyAlignment="1">
      <alignment wrapText="1"/>
    </xf>
    <xf numFmtId="0" fontId="10" fillId="22" borderId="82" xfId="0" applyFont="1" applyFill="1" applyBorder="1" applyAlignment="1">
      <alignment horizontal="center"/>
    </xf>
    <xf numFmtId="0" fontId="36" fillId="0" borderId="27" xfId="0" applyFont="1" applyBorder="1" applyAlignment="1">
      <alignment horizontal="center" vertical="center" wrapText="1"/>
    </xf>
    <xf numFmtId="43" fontId="34" fillId="13" borderId="27" xfId="1" applyFont="1" applyFill="1" applyBorder="1" applyAlignment="1">
      <alignment horizontal="center"/>
    </xf>
    <xf numFmtId="43" fontId="34" fillId="20" borderId="27" xfId="1" applyFont="1" applyFill="1" applyBorder="1" applyAlignment="1">
      <alignment horizontal="center"/>
    </xf>
    <xf numFmtId="0" fontId="36" fillId="0" borderId="78" xfId="0" applyFont="1" applyBorder="1" applyAlignment="1">
      <alignment horizontal="center" wrapText="1"/>
    </xf>
    <xf numFmtId="0" fontId="7" fillId="0" borderId="55" xfId="0" applyFont="1" applyBorder="1" applyAlignment="1">
      <alignment horizontal="center" vertical="center" shrinkToFit="1"/>
    </xf>
    <xf numFmtId="0" fontId="34" fillId="0" borderId="85" xfId="0" applyFont="1" applyFill="1" applyBorder="1" applyAlignment="1">
      <alignment horizontal="center"/>
    </xf>
    <xf numFmtId="0" fontId="36" fillId="0" borderId="85" xfId="0" applyFont="1" applyFill="1" applyBorder="1" applyAlignment="1">
      <alignment horizontal="left" wrapText="1"/>
    </xf>
    <xf numFmtId="0" fontId="36" fillId="0" borderId="85" xfId="0" applyFont="1" applyBorder="1" applyAlignment="1">
      <alignment horizontal="center"/>
    </xf>
    <xf numFmtId="0" fontId="35" fillId="0" borderId="85" xfId="0" applyFont="1" applyFill="1" applyBorder="1" applyAlignment="1">
      <alignment horizontal="center" wrapText="1"/>
    </xf>
    <xf numFmtId="0" fontId="24" fillId="0" borderId="86" xfId="0" applyFont="1" applyBorder="1" applyAlignment="1">
      <alignment horizontal="center" wrapText="1"/>
    </xf>
    <xf numFmtId="167" fontId="45" fillId="0" borderId="85" xfId="0" applyNumberFormat="1" applyFont="1" applyFill="1" applyBorder="1" applyAlignment="1">
      <alignment horizontal="center"/>
    </xf>
    <xf numFmtId="49" fontId="35" fillId="0" borderId="85" xfId="0" applyNumberFormat="1" applyFont="1" applyFill="1" applyBorder="1" applyAlignment="1">
      <alignment horizontal="center"/>
    </xf>
    <xf numFmtId="43" fontId="34" fillId="0" borderId="85" xfId="1" applyFont="1" applyFill="1" applyBorder="1" applyAlignment="1">
      <alignment horizontal="center"/>
    </xf>
    <xf numFmtId="164" fontId="8" fillId="0" borderId="86" xfId="0" applyNumberFormat="1" applyFont="1" applyFill="1" applyBorder="1" applyAlignment="1"/>
    <xf numFmtId="164" fontId="8" fillId="0" borderId="86" xfId="0" applyNumberFormat="1" applyFont="1" applyBorder="1" applyAlignment="1">
      <alignment vertical="center"/>
    </xf>
    <xf numFmtId="43" fontId="34" fillId="13" borderId="85" xfId="1" applyFont="1" applyFill="1" applyBorder="1" applyAlignment="1">
      <alignment horizontal="center" vertical="center"/>
    </xf>
    <xf numFmtId="43" fontId="34" fillId="20" borderId="85" xfId="1" applyFont="1" applyFill="1" applyBorder="1" applyAlignment="1">
      <alignment horizontal="center"/>
    </xf>
    <xf numFmtId="164" fontId="2" fillId="0" borderId="87" xfId="0" applyNumberFormat="1" applyFont="1" applyBorder="1" applyAlignment="1">
      <alignment vertical="center" wrapText="1"/>
    </xf>
    <xf numFmtId="43" fontId="34" fillId="14" borderId="54" xfId="1" applyFont="1" applyFill="1" applyBorder="1" applyAlignment="1">
      <alignment horizontal="center" vertical="center"/>
    </xf>
    <xf numFmtId="43" fontId="34" fillId="14" borderId="80" xfId="1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 wrapText="1"/>
    </xf>
    <xf numFmtId="0" fontId="49" fillId="0" borderId="25" xfId="0" applyFont="1" applyFill="1" applyBorder="1" applyAlignment="1">
      <alignment horizontal="center"/>
    </xf>
    <xf numFmtId="0" fontId="49" fillId="0" borderId="25" xfId="0" applyNumberFormat="1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25" xfId="0" applyNumberFormat="1" applyFont="1" applyFill="1" applyBorder="1" applyAlignment="1">
      <alignment horizontal="center"/>
    </xf>
    <xf numFmtId="0" fontId="10" fillId="22" borderId="0" xfId="0" applyFont="1" applyFill="1"/>
    <xf numFmtId="164" fontId="8" fillId="9" borderId="11" xfId="0" applyNumberFormat="1" applyFont="1" applyFill="1" applyBorder="1" applyAlignment="1"/>
    <xf numFmtId="0" fontId="48" fillId="0" borderId="27" xfId="0" applyFont="1" applyBorder="1" applyAlignment="1">
      <alignment horizontal="center" wrapText="1"/>
    </xf>
    <xf numFmtId="0" fontId="36" fillId="0" borderId="34" xfId="0" applyFont="1" applyFill="1" applyBorder="1" applyAlignment="1">
      <alignment horizontal="center" wrapText="1"/>
    </xf>
    <xf numFmtId="0" fontId="36" fillId="0" borderId="78" xfId="0" applyFont="1" applyBorder="1" applyAlignment="1">
      <alignment horizontal="center"/>
    </xf>
    <xf numFmtId="0" fontId="43" fillId="0" borderId="34" xfId="0" applyFont="1" applyFill="1" applyBorder="1" applyAlignment="1">
      <alignment horizontal="center"/>
    </xf>
    <xf numFmtId="0" fontId="43" fillId="0" borderId="34" xfId="0" applyNumberFormat="1" applyFont="1" applyFill="1" applyBorder="1" applyAlignment="1">
      <alignment horizontal="center"/>
    </xf>
    <xf numFmtId="0" fontId="0" fillId="0" borderId="0" xfId="0" applyFont="1" applyAlignment="1"/>
    <xf numFmtId="0" fontId="24" fillId="0" borderId="25" xfId="0" applyFont="1" applyBorder="1" applyAlignment="1">
      <alignment horizontal="center" wrapText="1"/>
    </xf>
    <xf numFmtId="0" fontId="24" fillId="0" borderId="25" xfId="0" applyFont="1" applyFill="1" applyBorder="1" applyAlignment="1">
      <alignment horizontal="center" wrapText="1"/>
    </xf>
    <xf numFmtId="0" fontId="25" fillId="0" borderId="25" xfId="0" applyFont="1" applyFill="1" applyBorder="1" applyAlignment="1">
      <alignment horizontal="center" wrapText="1"/>
    </xf>
    <xf numFmtId="0" fontId="24" fillId="0" borderId="81" xfId="0" applyFont="1" applyBorder="1" applyAlignment="1">
      <alignment horizontal="center"/>
    </xf>
    <xf numFmtId="3" fontId="25" fillId="0" borderId="25" xfId="0" applyNumberFormat="1" applyFont="1" applyFill="1" applyBorder="1" applyAlignment="1">
      <alignment horizontal="center" wrapText="1"/>
    </xf>
    <xf numFmtId="0" fontId="24" fillId="0" borderId="27" xfId="0" applyFont="1" applyFill="1" applyBorder="1" applyAlignment="1">
      <alignment horizontal="center" wrapText="1"/>
    </xf>
    <xf numFmtId="0" fontId="25" fillId="0" borderId="27" xfId="0" applyFont="1" applyFill="1" applyBorder="1" applyAlignment="1">
      <alignment horizontal="center" wrapText="1"/>
    </xf>
    <xf numFmtId="0" fontId="24" fillId="0" borderId="88" xfId="0" applyFont="1" applyBorder="1" applyAlignment="1">
      <alignment horizontal="center"/>
    </xf>
    <xf numFmtId="0" fontId="24" fillId="0" borderId="27" xfId="0" applyFont="1" applyBorder="1" applyAlignment="1">
      <alignment horizontal="center" wrapText="1"/>
    </xf>
    <xf numFmtId="3" fontId="25" fillId="0" borderId="34" xfId="0" applyNumberFormat="1" applyFont="1" applyFill="1" applyBorder="1" applyAlignment="1">
      <alignment horizontal="center" wrapText="1"/>
    </xf>
    <xf numFmtId="0" fontId="24" fillId="0" borderId="34" xfId="0" applyFont="1" applyBorder="1" applyAlignment="1">
      <alignment horizontal="center"/>
    </xf>
    <xf numFmtId="0" fontId="24" fillId="0" borderId="34" xfId="0" applyFont="1" applyBorder="1" applyAlignment="1">
      <alignment horizontal="center" wrapText="1"/>
    </xf>
    <xf numFmtId="0" fontId="24" fillId="0" borderId="34" xfId="0" applyFont="1" applyFill="1" applyBorder="1" applyAlignment="1">
      <alignment horizontal="center" wrapText="1"/>
    </xf>
    <xf numFmtId="167" fontId="10" fillId="0" borderId="25" xfId="0" applyNumberFormat="1" applyFont="1" applyFill="1" applyBorder="1" applyAlignment="1">
      <alignment horizontal="center"/>
    </xf>
    <xf numFmtId="0" fontId="43" fillId="0" borderId="27" xfId="0" applyFont="1" applyFill="1" applyBorder="1" applyAlignment="1">
      <alignment horizontal="center"/>
    </xf>
    <xf numFmtId="0" fontId="43" fillId="0" borderId="27" xfId="0" applyNumberFormat="1" applyFont="1" applyFill="1" applyBorder="1" applyAlignment="1">
      <alignment horizontal="center"/>
    </xf>
    <xf numFmtId="167" fontId="10" fillId="0" borderId="34" xfId="0" applyNumberFormat="1" applyFont="1" applyFill="1" applyBorder="1" applyAlignment="1">
      <alignment horizontal="center"/>
    </xf>
    <xf numFmtId="0" fontId="0" fillId="0" borderId="0" xfId="0" applyFont="1" applyAlignment="1"/>
    <xf numFmtId="164" fontId="8" fillId="0" borderId="29" xfId="0" applyNumberFormat="1" applyFont="1" applyBorder="1" applyAlignment="1"/>
    <xf numFmtId="164" fontId="8" fillId="0" borderId="11" xfId="0" applyNumberFormat="1" applyFont="1" applyBorder="1" applyAlignment="1"/>
    <xf numFmtId="164" fontId="8" fillId="0" borderId="13" xfId="0" applyNumberFormat="1" applyFont="1" applyBorder="1" applyAlignment="1"/>
    <xf numFmtId="164" fontId="8" fillId="0" borderId="35" xfId="0" applyNumberFormat="1" applyFont="1" applyBorder="1" applyAlignment="1"/>
    <xf numFmtId="0" fontId="24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/>
    </xf>
    <xf numFmtId="0" fontId="24" fillId="0" borderId="25" xfId="0" applyFont="1" applyBorder="1"/>
    <xf numFmtId="0" fontId="35" fillId="0" borderId="89" xfId="0" applyFont="1" applyFill="1" applyBorder="1" applyAlignment="1">
      <alignment horizontal="center" wrapText="1"/>
    </xf>
    <xf numFmtId="43" fontId="34" fillId="13" borderId="25" xfId="1" applyFont="1" applyFill="1" applyBorder="1" applyAlignment="1">
      <alignment horizontal="right"/>
    </xf>
    <xf numFmtId="43" fontId="34" fillId="14" borderId="25" xfId="1" applyFont="1" applyFill="1" applyBorder="1" applyAlignment="1">
      <alignment horizontal="center"/>
    </xf>
    <xf numFmtId="0" fontId="0" fillId="0" borderId="0" xfId="0" applyFont="1" applyAlignment="1"/>
    <xf numFmtId="0" fontId="2" fillId="6" borderId="28" xfId="0" applyFont="1" applyFill="1" applyBorder="1" applyAlignment="1">
      <alignment horizontal="center" vertical="center" shrinkToFit="1"/>
    </xf>
    <xf numFmtId="167" fontId="10" fillId="0" borderId="27" xfId="0" applyNumberFormat="1" applyFont="1" applyFill="1" applyBorder="1" applyAlignment="1">
      <alignment horizontal="center"/>
    </xf>
    <xf numFmtId="43" fontId="34" fillId="14" borderId="27" xfId="1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49" fillId="0" borderId="34" xfId="0" applyFont="1" applyFill="1" applyBorder="1" applyAlignment="1">
      <alignment horizontal="center"/>
    </xf>
    <xf numFmtId="0" fontId="49" fillId="0" borderId="34" xfId="0" applyNumberFormat="1" applyFont="1" applyFill="1" applyBorder="1" applyAlignment="1">
      <alignment horizontal="center"/>
    </xf>
    <xf numFmtId="43" fontId="34" fillId="13" borderId="34" xfId="1" applyFont="1" applyFill="1" applyBorder="1" applyAlignment="1">
      <alignment horizontal="right"/>
    </xf>
    <xf numFmtId="43" fontId="37" fillId="20" borderId="25" xfId="1" applyFont="1" applyFill="1" applyBorder="1" applyAlignment="1">
      <alignment horizontal="center"/>
    </xf>
    <xf numFmtId="0" fontId="34" fillId="22" borderId="27" xfId="0" applyFont="1" applyFill="1" applyBorder="1" applyAlignment="1">
      <alignment horizontal="center"/>
    </xf>
    <xf numFmtId="0" fontId="24" fillId="0" borderId="78" xfId="0" applyFont="1" applyBorder="1" applyAlignment="1">
      <alignment horizontal="center" wrapText="1"/>
    </xf>
    <xf numFmtId="0" fontId="0" fillId="0" borderId="0" xfId="0" applyFont="1" applyAlignment="1"/>
    <xf numFmtId="0" fontId="24" fillId="0" borderId="85" xfId="0" applyFont="1" applyBorder="1" applyAlignment="1">
      <alignment horizontal="center"/>
    </xf>
    <xf numFmtId="0" fontId="25" fillId="0" borderId="34" xfId="0" applyFont="1" applyFill="1" applyBorder="1" applyAlignment="1">
      <alignment horizontal="center" wrapText="1"/>
    </xf>
    <xf numFmtId="0" fontId="7" fillId="0" borderId="90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wrapText="1"/>
    </xf>
    <xf numFmtId="0" fontId="7" fillId="0" borderId="91" xfId="0" applyFont="1" applyBorder="1" applyAlignment="1">
      <alignment horizontal="center" vertical="center" shrinkToFit="1"/>
    </xf>
    <xf numFmtId="0" fontId="43" fillId="0" borderId="80" xfId="0" applyFont="1" applyFill="1" applyBorder="1" applyAlignment="1">
      <alignment horizontal="center" wrapText="1"/>
    </xf>
    <xf numFmtId="0" fontId="44" fillId="0" borderId="80" xfId="0" applyFont="1" applyBorder="1" applyAlignment="1">
      <alignment wrapText="1"/>
    </xf>
    <xf numFmtId="0" fontId="12" fillId="0" borderId="80" xfId="0" applyFont="1" applyBorder="1" applyAlignment="1">
      <alignment horizontal="center" wrapText="1"/>
    </xf>
    <xf numFmtId="164" fontId="8" fillId="16" borderId="25" xfId="0" applyNumberFormat="1" applyFont="1" applyFill="1" applyBorder="1" applyAlignment="1">
      <alignment vertical="center"/>
    </xf>
    <xf numFmtId="164" fontId="2" fillId="0" borderId="92" xfId="0" applyNumberFormat="1" applyFont="1" applyBorder="1" applyAlignment="1">
      <alignment vertical="center" wrapText="1"/>
    </xf>
    <xf numFmtId="0" fontId="34" fillId="0" borderId="93" xfId="0" applyFont="1" applyFill="1" applyBorder="1" applyAlignment="1">
      <alignment horizontal="center"/>
    </xf>
    <xf numFmtId="164" fontId="2" fillId="0" borderId="94" xfId="0" applyNumberFormat="1" applyFont="1" applyBorder="1" applyAlignment="1">
      <alignment vertical="center" wrapText="1"/>
    </xf>
    <xf numFmtId="0" fontId="35" fillId="0" borderId="89" xfId="0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5" xfId="0" applyFont="1" applyBorder="1" applyAlignment="1">
      <alignment wrapText="1"/>
    </xf>
    <xf numFmtId="0" fontId="24" fillId="0" borderId="89" xfId="0" applyFont="1" applyBorder="1" applyAlignment="1">
      <alignment horizontal="center"/>
    </xf>
    <xf numFmtId="0" fontId="35" fillId="0" borderId="81" xfId="0" applyFont="1" applyFill="1" applyBorder="1" applyAlignment="1">
      <alignment horizont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/>
    </xf>
    <xf numFmtId="0" fontId="43" fillId="0" borderId="34" xfId="0" applyFont="1" applyFill="1" applyBorder="1" applyAlignment="1">
      <alignment horizontal="left"/>
    </xf>
    <xf numFmtId="0" fontId="0" fillId="0" borderId="0" xfId="0" applyFont="1" applyAlignment="1"/>
    <xf numFmtId="0" fontId="2" fillId="0" borderId="48" xfId="0" applyFont="1" applyBorder="1" applyAlignment="1">
      <alignment horizontal="center" vertical="center" shrinkToFit="1"/>
    </xf>
    <xf numFmtId="0" fontId="0" fillId="0" borderId="0" xfId="0" applyFont="1" applyAlignment="1"/>
    <xf numFmtId="164" fontId="8" fillId="23" borderId="29" xfId="0" applyNumberFormat="1" applyFont="1" applyFill="1" applyBorder="1" applyAlignment="1"/>
    <xf numFmtId="164" fontId="8" fillId="23" borderId="11" xfId="0" applyNumberFormat="1" applyFont="1" applyFill="1" applyBorder="1" applyAlignment="1"/>
    <xf numFmtId="164" fontId="8" fillId="23" borderId="40" xfId="0" applyNumberFormat="1" applyFont="1" applyFill="1" applyBorder="1" applyAlignment="1"/>
    <xf numFmtId="0" fontId="25" fillId="0" borderId="25" xfId="0" applyFont="1" applyFill="1" applyBorder="1" applyAlignment="1">
      <alignment horizontal="center"/>
    </xf>
    <xf numFmtId="43" fontId="34" fillId="24" borderId="25" xfId="1" applyFont="1" applyFill="1" applyBorder="1" applyAlignment="1">
      <alignment horizontal="center"/>
    </xf>
    <xf numFmtId="164" fontId="8" fillId="16" borderId="29" xfId="0" applyNumberFormat="1" applyFont="1" applyFill="1" applyBorder="1" applyAlignment="1">
      <alignment vertical="center"/>
    </xf>
    <xf numFmtId="0" fontId="35" fillId="0" borderId="34" xfId="0" applyFont="1" applyFill="1" applyBorder="1" applyAlignment="1">
      <alignment horizontal="left"/>
    </xf>
    <xf numFmtId="0" fontId="38" fillId="0" borderId="34" xfId="0" applyFont="1" applyBorder="1" applyAlignment="1">
      <alignment horizontal="center"/>
    </xf>
    <xf numFmtId="164" fontId="8" fillId="16" borderId="40" xfId="0" applyNumberFormat="1" applyFont="1" applyFill="1" applyBorder="1" applyAlignment="1">
      <alignment vertical="center"/>
    </xf>
    <xf numFmtId="43" fontId="34" fillId="20" borderId="34" xfId="1" applyFont="1" applyFill="1" applyBorder="1" applyAlignment="1">
      <alignment horizontal="center" vertical="center"/>
    </xf>
    <xf numFmtId="168" fontId="25" fillId="0" borderId="25" xfId="0" applyNumberFormat="1" applyFont="1" applyFill="1" applyBorder="1" applyAlignment="1">
      <alignment horizontal="center" wrapText="1"/>
    </xf>
    <xf numFmtId="0" fontId="46" fillId="0" borderId="25" xfId="0" applyFont="1" applyBorder="1" applyAlignment="1">
      <alignment horizontal="center" wrapText="1"/>
    </xf>
    <xf numFmtId="0" fontId="47" fillId="0" borderId="27" xfId="0" applyFont="1" applyFill="1" applyBorder="1" applyAlignment="1">
      <alignment horizontal="center"/>
    </xf>
    <xf numFmtId="0" fontId="47" fillId="0" borderId="27" xfId="0" applyNumberFormat="1" applyFont="1" applyFill="1" applyBorder="1" applyAlignment="1">
      <alignment horizontal="center"/>
    </xf>
    <xf numFmtId="0" fontId="46" fillId="0" borderId="6" xfId="0" applyFont="1" applyBorder="1" applyAlignment="1">
      <alignment horizontal="center" wrapText="1"/>
    </xf>
    <xf numFmtId="0" fontId="8" fillId="3" borderId="95" xfId="0" applyFont="1" applyFill="1" applyBorder="1" applyAlignment="1">
      <alignment horizontal="center"/>
    </xf>
    <xf numFmtId="164" fontId="8" fillId="6" borderId="96" xfId="0" applyNumberFormat="1" applyFont="1" applyFill="1" applyBorder="1" applyAlignment="1">
      <alignment vertical="center"/>
    </xf>
    <xf numFmtId="164" fontId="8" fillId="6" borderId="97" xfId="0" applyNumberFormat="1" applyFont="1" applyFill="1" applyBorder="1" applyAlignment="1">
      <alignment vertical="center"/>
    </xf>
    <xf numFmtId="164" fontId="8" fillId="6" borderId="97" xfId="0" applyNumberFormat="1" applyFont="1" applyFill="1" applyBorder="1" applyAlignment="1">
      <alignment horizontal="center" vertical="center"/>
    </xf>
    <xf numFmtId="164" fontId="9" fillId="18" borderId="98" xfId="0" applyNumberFormat="1" applyFont="1" applyFill="1" applyBorder="1" applyAlignment="1">
      <alignment vertical="center" wrapText="1"/>
    </xf>
    <xf numFmtId="164" fontId="8" fillId="16" borderId="11" xfId="0" applyNumberFormat="1" applyFont="1" applyFill="1" applyBorder="1" applyAlignment="1"/>
    <xf numFmtId="0" fontId="25" fillId="0" borderId="11" xfId="0" applyFont="1" applyBorder="1" applyAlignment="1">
      <alignment horizontal="center" wrapText="1"/>
    </xf>
    <xf numFmtId="0" fontId="12" fillId="0" borderId="99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43" fontId="34" fillId="20" borderId="25" xfId="1" applyFont="1" applyFill="1" applyBorder="1" applyAlignment="1"/>
    <xf numFmtId="164" fontId="8" fillId="9" borderId="13" xfId="0" applyNumberFormat="1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24" xfId="0" applyFont="1" applyFill="1" applyBorder="1" applyAlignment="1">
      <alignment horizontal="center"/>
    </xf>
    <xf numFmtId="0" fontId="6" fillId="0" borderId="19" xfId="0" applyFont="1" applyBorder="1"/>
    <xf numFmtId="0" fontId="6" fillId="0" borderId="22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/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5" fillId="3" borderId="10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 vertical="center" shrinkToFit="1"/>
    </xf>
    <xf numFmtId="0" fontId="2" fillId="6" borderId="2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2" fillId="6" borderId="63" xfId="0" applyFont="1" applyFill="1" applyBorder="1" applyAlignment="1">
      <alignment horizontal="center" vertical="center" shrinkToFit="1"/>
    </xf>
    <xf numFmtId="0" fontId="6" fillId="0" borderId="48" xfId="0" applyFont="1" applyBorder="1"/>
    <xf numFmtId="0" fontId="6" fillId="0" borderId="52" xfId="0" applyFont="1" applyBorder="1"/>
    <xf numFmtId="0" fontId="2" fillId="6" borderId="28" xfId="0" applyFont="1" applyFill="1" applyBorder="1" applyAlignment="1">
      <alignment horizontal="center" vertical="center" shrinkToFit="1"/>
    </xf>
    <xf numFmtId="0" fontId="6" fillId="0" borderId="28" xfId="0" applyFont="1" applyBorder="1"/>
    <xf numFmtId="0" fontId="6" fillId="0" borderId="70" xfId="0" applyFont="1" applyBorder="1"/>
    <xf numFmtId="0" fontId="2" fillId="6" borderId="48" xfId="0" applyFont="1" applyFill="1" applyBorder="1" applyAlignment="1">
      <alignment horizontal="center" vertical="center" shrinkToFit="1"/>
    </xf>
    <xf numFmtId="0" fontId="6" fillId="0" borderId="49" xfId="0" applyFont="1" applyBorder="1"/>
    <xf numFmtId="0" fontId="5" fillId="0" borderId="24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164" fontId="2" fillId="18" borderId="73" xfId="0" applyNumberFormat="1" applyFont="1" applyFill="1" applyBorder="1" applyAlignment="1">
      <alignment horizontal="center" vertical="center" wrapText="1"/>
    </xf>
    <xf numFmtId="0" fontId="34" fillId="21" borderId="82" xfId="0" applyFont="1" applyFill="1" applyBorder="1" applyAlignment="1">
      <alignment horizontal="center"/>
    </xf>
    <xf numFmtId="0" fontId="7" fillId="0" borderId="100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wrapText="1"/>
    </xf>
    <xf numFmtId="164" fontId="8" fillId="9" borderId="54" xfId="0" applyNumberFormat="1" applyFont="1" applyFill="1" applyBorder="1" applyAlignment="1">
      <alignment vertical="center"/>
    </xf>
    <xf numFmtId="164" fontId="8" fillId="0" borderId="54" xfId="0" applyNumberFormat="1" applyFont="1" applyBorder="1" applyAlignment="1">
      <alignment vertical="center"/>
    </xf>
    <xf numFmtId="43" fontId="34" fillId="20" borderId="54" xfId="1" applyFont="1" applyFill="1" applyBorder="1" applyAlignment="1">
      <alignment horizontal="center" vertical="center"/>
    </xf>
    <xf numFmtId="164" fontId="2" fillId="0" borderId="101" xfId="0" applyNumberFormat="1" applyFont="1" applyBorder="1" applyAlignment="1">
      <alignment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2DCD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opLeftCell="A7" workbookViewId="0">
      <selection activeCell="E24" sqref="E24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471" t="s">
        <v>62</v>
      </c>
      <c r="B2" s="472"/>
      <c r="C2" s="472"/>
      <c r="D2" s="472"/>
      <c r="E2" s="472"/>
      <c r="F2" s="472"/>
      <c r="G2" s="472"/>
      <c r="H2" s="472"/>
      <c r="I2" s="472"/>
      <c r="J2" s="47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.75" thickBot="1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133"/>
      <c r="C4" s="133"/>
      <c r="D4" s="473" t="s">
        <v>0</v>
      </c>
      <c r="E4" s="474"/>
      <c r="F4" s="475"/>
      <c r="G4" s="245" t="s">
        <v>1</v>
      </c>
      <c r="H4" s="473" t="s">
        <v>1</v>
      </c>
      <c r="I4" s="475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8"/>
      <c r="B5" s="246" t="s">
        <v>2</v>
      </c>
      <c r="C5" s="247" t="s">
        <v>3</v>
      </c>
      <c r="D5" s="248" t="s">
        <v>4</v>
      </c>
      <c r="E5" s="248" t="s">
        <v>5</v>
      </c>
      <c r="F5" s="249" t="s">
        <v>6</v>
      </c>
      <c r="G5" s="248" t="s">
        <v>7</v>
      </c>
      <c r="H5" s="250" t="s">
        <v>8</v>
      </c>
      <c r="I5" s="251" t="s">
        <v>9</v>
      </c>
      <c r="J5" s="500" t="s">
        <v>10</v>
      </c>
    </row>
    <row r="6" spans="1:28" ht="24.75" customHeight="1" thickBot="1">
      <c r="A6" s="9"/>
      <c r="B6" s="460" t="s">
        <v>11</v>
      </c>
      <c r="C6" s="258" t="s">
        <v>49</v>
      </c>
      <c r="D6" s="461">
        <f>JAN!M7</f>
        <v>309.32</v>
      </c>
      <c r="E6" s="462">
        <f>JAN!N7</f>
        <v>113.2</v>
      </c>
      <c r="F6" s="462">
        <f>JAN!O7</f>
        <v>0</v>
      </c>
      <c r="G6" s="462">
        <f>JAN!P9</f>
        <v>0</v>
      </c>
      <c r="H6" s="463">
        <f>JAN!Q7</f>
        <v>4759.6499999999996</v>
      </c>
      <c r="I6" s="463">
        <f>JAN!R7</f>
        <v>1342.55</v>
      </c>
      <c r="J6" s="234">
        <f t="shared" ref="J6:J17" si="0">D6+E6+F6+G6+H6+I6</f>
        <v>6524.72</v>
      </c>
      <c r="K6" s="10"/>
      <c r="L6" s="11">
        <f>J6-JAN!S7</f>
        <v>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4.75" customHeight="1" thickBot="1">
      <c r="A7" s="9"/>
      <c r="B7" s="225" t="s">
        <v>12</v>
      </c>
      <c r="C7" s="258" t="s">
        <v>49</v>
      </c>
      <c r="D7" s="252">
        <f>FEV!M8</f>
        <v>0</v>
      </c>
      <c r="E7" s="12">
        <f>FEV!N8</f>
        <v>0</v>
      </c>
      <c r="F7" s="12">
        <f>FEV!O8</f>
        <v>0</v>
      </c>
      <c r="G7" s="12">
        <f>FEV!P10</f>
        <v>0</v>
      </c>
      <c r="H7" s="13">
        <f>FEV!Q8</f>
        <v>0</v>
      </c>
      <c r="I7" s="13">
        <f>FEV!R8</f>
        <v>0</v>
      </c>
      <c r="J7" s="235">
        <f t="shared" si="0"/>
        <v>0</v>
      </c>
      <c r="K7" s="10"/>
      <c r="L7" s="11">
        <f>J7-FEV!S8</f>
        <v>0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24.75" customHeight="1" thickBot="1">
      <c r="A8" s="206"/>
      <c r="B8" s="226" t="s">
        <v>14</v>
      </c>
      <c r="C8" s="258" t="s">
        <v>49</v>
      </c>
      <c r="D8" s="252">
        <f>MAR!M21</f>
        <v>1047.06</v>
      </c>
      <c r="E8" s="12">
        <f>MAR!N21</f>
        <v>546.18000000000006</v>
      </c>
      <c r="F8" s="12">
        <f>MAR!O21</f>
        <v>100</v>
      </c>
      <c r="G8" s="12">
        <f>MAR!P23</f>
        <v>0</v>
      </c>
      <c r="H8" s="13">
        <f>MAR!Q21</f>
        <v>41563.599999999999</v>
      </c>
      <c r="I8" s="13">
        <f>MAR!R21</f>
        <v>8211.44</v>
      </c>
      <c r="J8" s="235">
        <f t="shared" si="0"/>
        <v>51468.28</v>
      </c>
      <c r="K8" s="10"/>
      <c r="L8" s="11">
        <f>J8-MAR!S21</f>
        <v>0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4.75" customHeight="1" thickBot="1">
      <c r="A9" s="9"/>
      <c r="B9" s="225" t="s">
        <v>15</v>
      </c>
      <c r="C9" s="258" t="s">
        <v>49</v>
      </c>
      <c r="D9" s="252">
        <f>ABR!M9</f>
        <v>322.71000000000004</v>
      </c>
      <c r="E9" s="12">
        <f>ABR!N9</f>
        <v>176.18</v>
      </c>
      <c r="F9" s="12">
        <f>ABR!O9</f>
        <v>0</v>
      </c>
      <c r="G9" s="12">
        <f>ABR!P11</f>
        <v>0</v>
      </c>
      <c r="H9" s="13">
        <f>ABR!Q9</f>
        <v>8777.84</v>
      </c>
      <c r="I9" s="13">
        <f>ABR!R9</f>
        <v>1224.9000000000001</v>
      </c>
      <c r="J9" s="235">
        <f t="shared" si="0"/>
        <v>10501.63</v>
      </c>
      <c r="K9" s="10"/>
      <c r="L9" s="11">
        <f>J9-ABR!S9</f>
        <v>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4.75" customHeight="1" thickBot="1">
      <c r="A10" s="9"/>
      <c r="B10" s="225" t="s">
        <v>16</v>
      </c>
      <c r="C10" s="258" t="s">
        <v>49</v>
      </c>
      <c r="D10" s="252">
        <f>MAI!M15</f>
        <v>691.24</v>
      </c>
      <c r="E10" s="12">
        <f>MAI!N15</f>
        <v>1662.7000000000003</v>
      </c>
      <c r="F10" s="12">
        <f>MAI!O15</f>
        <v>116.69</v>
      </c>
      <c r="G10" s="12">
        <f>MAI!P17</f>
        <v>0</v>
      </c>
      <c r="H10" s="13">
        <f>MAI!Q15</f>
        <v>25858.190000000002</v>
      </c>
      <c r="I10" s="13">
        <f>MAI!R15</f>
        <v>3925.01</v>
      </c>
      <c r="J10" s="235">
        <f t="shared" si="0"/>
        <v>32253.83</v>
      </c>
      <c r="K10" s="10"/>
      <c r="L10" s="11">
        <f>J10-MAI!S15</f>
        <v>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4.75" customHeight="1" thickBot="1">
      <c r="A11" s="9"/>
      <c r="B11" s="225" t="s">
        <v>17</v>
      </c>
      <c r="C11" s="258" t="s">
        <v>49</v>
      </c>
      <c r="D11" s="252">
        <f>JUN!M11</f>
        <v>2090.4300000000003</v>
      </c>
      <c r="E11" s="12">
        <f>JUN!N11</f>
        <v>149.4</v>
      </c>
      <c r="F11" s="12">
        <f>JUN!O11</f>
        <v>0</v>
      </c>
      <c r="G11" s="12">
        <f>JUN!P13</f>
        <v>0</v>
      </c>
      <c r="H11" s="13">
        <f>JUN!Q11</f>
        <v>15392.16</v>
      </c>
      <c r="I11" s="13">
        <f>JUN!R11</f>
        <v>19044.48</v>
      </c>
      <c r="J11" s="235">
        <f t="shared" si="0"/>
        <v>36676.47</v>
      </c>
      <c r="K11" s="10"/>
      <c r="L11" s="11">
        <f>J11-JUN!S11</f>
        <v>0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4.75" customHeight="1" thickBot="1">
      <c r="A12" s="9"/>
      <c r="B12" s="225" t="s">
        <v>18</v>
      </c>
      <c r="C12" s="258" t="s">
        <v>49</v>
      </c>
      <c r="D12" s="252">
        <f>JUL!M15</f>
        <v>728.23</v>
      </c>
      <c r="E12" s="12">
        <f>JUL!N15</f>
        <v>1012.15</v>
      </c>
      <c r="F12" s="12">
        <f>JUL!O15</f>
        <v>0</v>
      </c>
      <c r="G12" s="12">
        <f>JUL!P17</f>
        <v>0</v>
      </c>
      <c r="H12" s="13">
        <f>JUL!Q15</f>
        <v>18829.12</v>
      </c>
      <c r="I12" s="13">
        <f>JUL!R15</f>
        <v>2180.17</v>
      </c>
      <c r="J12" s="235">
        <f t="shared" si="0"/>
        <v>22749.67</v>
      </c>
      <c r="K12" s="10"/>
      <c r="L12" s="11">
        <f>J12-JUL!S15</f>
        <v>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.75" customHeight="1" thickBot="1">
      <c r="A13" s="9"/>
      <c r="B13" s="226" t="s">
        <v>19</v>
      </c>
      <c r="C13" s="258" t="s">
        <v>49</v>
      </c>
      <c r="D13" s="252">
        <f>AGO!M11</f>
        <v>1324.54</v>
      </c>
      <c r="E13" s="12">
        <f>AGO!N11</f>
        <v>951.98</v>
      </c>
      <c r="F13" s="12">
        <f>AGO!O11</f>
        <v>0</v>
      </c>
      <c r="G13" s="12">
        <f>AGO!P13</f>
        <v>0</v>
      </c>
      <c r="H13" s="13">
        <f>AGO!Q11</f>
        <v>12347.009999999998</v>
      </c>
      <c r="I13" s="13">
        <f>AGO!R11</f>
        <v>4085.06</v>
      </c>
      <c r="J13" s="235">
        <f t="shared" si="0"/>
        <v>18708.59</v>
      </c>
      <c r="K13" s="10"/>
      <c r="L13" s="11">
        <f>J13-AGO!S11</f>
        <v>0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4.75" customHeight="1" thickBot="1">
      <c r="A14" s="9"/>
      <c r="B14" s="226" t="s">
        <v>20</v>
      </c>
      <c r="C14" s="258" t="s">
        <v>49</v>
      </c>
      <c r="D14" s="252">
        <f>SET!M15</f>
        <v>665.54</v>
      </c>
      <c r="E14" s="12">
        <f>SET!N15</f>
        <v>581.18000000000006</v>
      </c>
      <c r="F14" s="12">
        <f>SET!O15</f>
        <v>0</v>
      </c>
      <c r="G14" s="12">
        <f>SET!P17</f>
        <v>0</v>
      </c>
      <c r="H14" s="13">
        <f>SET!Q15</f>
        <v>34442.78</v>
      </c>
      <c r="I14" s="13">
        <f>SET!R15</f>
        <v>4005.87</v>
      </c>
      <c r="J14" s="235">
        <f t="shared" si="0"/>
        <v>39695.370000000003</v>
      </c>
      <c r="K14" s="10"/>
      <c r="L14" s="11">
        <f>J14-SET!S15</f>
        <v>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4.75" customHeight="1" thickBot="1">
      <c r="A15" s="9"/>
      <c r="B15" s="226" t="s">
        <v>21</v>
      </c>
      <c r="C15" s="258" t="s">
        <v>49</v>
      </c>
      <c r="D15" s="252">
        <f>OUT!M19</f>
        <v>1129.6099999999999</v>
      </c>
      <c r="E15" s="12">
        <f>OUT!N19</f>
        <v>1446.34</v>
      </c>
      <c r="F15" s="12">
        <f>OUT!O19</f>
        <v>40.5</v>
      </c>
      <c r="G15" s="12">
        <f>OUT!P21</f>
        <v>0</v>
      </c>
      <c r="H15" s="13">
        <f>OUT!Q19</f>
        <v>30247.290000000005</v>
      </c>
      <c r="I15" s="13">
        <f>OUT!R19</f>
        <v>7646.47</v>
      </c>
      <c r="J15" s="235">
        <f t="shared" si="0"/>
        <v>40510.210000000006</v>
      </c>
      <c r="K15" s="10"/>
      <c r="L15" s="11">
        <f>J15-OUT!S19</f>
        <v>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4.75" customHeight="1" thickBot="1">
      <c r="A16" s="9"/>
      <c r="B16" s="226" t="s">
        <v>22</v>
      </c>
      <c r="C16" s="258" t="s">
        <v>49</v>
      </c>
      <c r="D16" s="252">
        <f>NOV!M17</f>
        <v>1320.17</v>
      </c>
      <c r="E16" s="12">
        <f>NOV!N17</f>
        <v>777.09</v>
      </c>
      <c r="F16" s="12">
        <f>NOV!O17</f>
        <v>720</v>
      </c>
      <c r="G16" s="12">
        <f>NOV!P19</f>
        <v>0</v>
      </c>
      <c r="H16" s="13">
        <f>NOV!Q17</f>
        <v>33104.719999999994</v>
      </c>
      <c r="I16" s="13">
        <f>NOV!R17</f>
        <v>5679.9199999999992</v>
      </c>
      <c r="J16" s="235">
        <f t="shared" si="0"/>
        <v>41601.899999999994</v>
      </c>
      <c r="K16" s="10"/>
      <c r="L16" s="11">
        <f>J16-NOV!S17</f>
        <v>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4.75" customHeight="1" thickBot="1">
      <c r="A17" s="9"/>
      <c r="B17" s="227" t="s">
        <v>23</v>
      </c>
      <c r="C17" s="501" t="s">
        <v>49</v>
      </c>
      <c r="D17" s="253">
        <f>DEZ!M7</f>
        <v>119.25</v>
      </c>
      <c r="E17" s="228">
        <f>DEZ!N7</f>
        <v>0</v>
      </c>
      <c r="F17" s="228">
        <f>DEZ!O7</f>
        <v>0</v>
      </c>
      <c r="G17" s="228">
        <f>DEZ!P9</f>
        <v>0</v>
      </c>
      <c r="H17" s="229">
        <f>DEZ!Q7</f>
        <v>3480.34</v>
      </c>
      <c r="I17" s="229">
        <f>DEZ!R7</f>
        <v>0</v>
      </c>
      <c r="J17" s="464">
        <f t="shared" si="0"/>
        <v>3599.59</v>
      </c>
      <c r="K17" s="10"/>
      <c r="L17" s="11">
        <f>J17-DEZ!S7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thickBot="1">
      <c r="A18" s="14"/>
      <c r="B18" s="14"/>
      <c r="C18" s="15"/>
      <c r="D18" s="16"/>
      <c r="E18" s="16"/>
      <c r="F18" s="17"/>
      <c r="G18" s="17"/>
      <c r="H18" s="18"/>
      <c r="I18" s="19"/>
      <c r="J18" s="2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>
      <c r="A19" s="21"/>
      <c r="B19" s="21"/>
      <c r="C19" s="22" t="s">
        <v>24</v>
      </c>
      <c r="D19" s="236">
        <f t="shared" ref="D19:I19" si="1">SUM(D6:D17)</f>
        <v>9748.1</v>
      </c>
      <c r="E19" s="237">
        <f t="shared" si="1"/>
        <v>7416.4000000000015</v>
      </c>
      <c r="F19" s="236">
        <f t="shared" si="1"/>
        <v>977.19</v>
      </c>
      <c r="G19" s="236">
        <f t="shared" si="1"/>
        <v>0</v>
      </c>
      <c r="H19" s="238">
        <f t="shared" si="1"/>
        <v>228802.69999999998</v>
      </c>
      <c r="I19" s="238">
        <f t="shared" si="1"/>
        <v>57345.869999999995</v>
      </c>
      <c r="J19" s="2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>
      <c r="A20" s="24"/>
      <c r="B20" s="24"/>
      <c r="C20" s="24"/>
      <c r="D20" s="476"/>
      <c r="E20" s="472"/>
      <c r="F20" s="25"/>
      <c r="G20" s="25"/>
      <c r="H20" s="24"/>
      <c r="I20" s="24"/>
      <c r="J20" s="26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5.75" customHeight="1">
      <c r="A21" s="24"/>
      <c r="B21" s="24"/>
      <c r="C21" s="24"/>
      <c r="D21" s="24"/>
      <c r="E21" s="27"/>
      <c r="F21" s="25"/>
      <c r="G21" s="25"/>
      <c r="H21" s="28"/>
      <c r="I21" s="29"/>
      <c r="J21" s="30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5.75" customHeight="1">
      <c r="A22" s="24"/>
      <c r="B22" s="24"/>
      <c r="C22" s="24"/>
      <c r="D22" s="477"/>
      <c r="E22" s="472"/>
      <c r="F22" s="31"/>
      <c r="G22" s="25"/>
      <c r="H22" s="32" t="s">
        <v>25</v>
      </c>
      <c r="I22" s="33">
        <f>D19+E19+F19+G19+H19+I19</f>
        <v>304290.26</v>
      </c>
      <c r="J22" s="3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5.75" customHeight="1">
      <c r="B23" s="2" t="s">
        <v>26</v>
      </c>
      <c r="C23" s="2"/>
      <c r="D23" s="35">
        <v>45288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36" t="s">
        <v>27</v>
      </c>
    </row>
    <row r="25" spans="1:28" ht="15.75" customHeight="1">
      <c r="B25" s="205"/>
      <c r="C25" s="1"/>
      <c r="D25" s="1"/>
      <c r="E25" s="2"/>
      <c r="F25" s="3"/>
      <c r="G25" s="3"/>
      <c r="H25" s="4"/>
      <c r="I25" s="5"/>
      <c r="J25" s="37">
        <f>I22-J6-J7-J8-J9-J10-J11-J12-J13-J14-J15-J16-J17</f>
        <v>4.0017766878008842E-11</v>
      </c>
    </row>
    <row r="26" spans="1:28" ht="15.75" customHeight="1">
      <c r="B26" s="38"/>
      <c r="C26" s="38"/>
      <c r="D26" s="38"/>
      <c r="E26" s="2"/>
      <c r="F26" s="3"/>
      <c r="G26" s="3"/>
      <c r="H26" s="4"/>
      <c r="I26" s="5"/>
      <c r="J26" s="5"/>
    </row>
    <row r="27" spans="1:28" ht="15.75" customHeight="1">
      <c r="B27" s="38" t="s">
        <v>28</v>
      </c>
      <c r="C27" s="38"/>
      <c r="D27" s="38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207" t="s">
        <v>29</v>
      </c>
      <c r="C29" s="207"/>
      <c r="D29" s="207"/>
      <c r="E29" s="208"/>
      <c r="F29" s="3"/>
      <c r="G29" s="3"/>
      <c r="H29" s="4"/>
      <c r="I29" s="5"/>
      <c r="J29" s="5"/>
    </row>
    <row r="30" spans="1:28" ht="15.75" customHeight="1">
      <c r="B30" s="39" t="s">
        <v>30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39" t="s">
        <v>31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algorithmName="SHA-512" hashValue="/kdhyzReiQ98JFKOo2yJuCMkHhonzREbzcKMCJuFOhMWgUMazbG2s3zW0baiJqSqHVL4GR9/SdQ4DVxyYPRxfQ==" saltValue="u9cTPz6WDsUqM4ssSUfgbw==" spinCount="100000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E11" sqref="E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7" width="34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2.5" customHeight="1">
      <c r="B2" s="478" t="s">
        <v>50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</row>
    <row r="3" spans="1:37" ht="32.25" customHeight="1" thickBot="1">
      <c r="A3" s="41"/>
      <c r="B3" s="6"/>
      <c r="C3" s="6"/>
      <c r="D3" s="6"/>
      <c r="E3" s="6"/>
      <c r="F3" s="194"/>
      <c r="G3" s="6"/>
      <c r="H3" s="6"/>
      <c r="I3" s="6"/>
      <c r="J3" s="6"/>
      <c r="K3" s="6"/>
      <c r="L3" s="6"/>
      <c r="M3" s="480" t="s">
        <v>0</v>
      </c>
      <c r="N3" s="481"/>
      <c r="O3" s="482"/>
      <c r="P3" s="42" t="s">
        <v>32</v>
      </c>
      <c r="Q3" s="483" t="s">
        <v>33</v>
      </c>
      <c r="R3" s="481"/>
      <c r="S3" s="48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1" t="s">
        <v>34</v>
      </c>
      <c r="C4" s="140" t="s">
        <v>35</v>
      </c>
      <c r="D4" s="105" t="s">
        <v>36</v>
      </c>
      <c r="E4" s="81" t="s">
        <v>37</v>
      </c>
      <c r="F4" s="81" t="s">
        <v>38</v>
      </c>
      <c r="G4" s="82" t="s">
        <v>39</v>
      </c>
      <c r="H4" s="81" t="s">
        <v>40</v>
      </c>
      <c r="I4" s="81" t="s">
        <v>41</v>
      </c>
      <c r="J4" s="484" t="s">
        <v>42</v>
      </c>
      <c r="K4" s="474"/>
      <c r="L4" s="475"/>
      <c r="M4" s="141" t="s">
        <v>4</v>
      </c>
      <c r="N4" s="142" t="s">
        <v>5</v>
      </c>
      <c r="O4" s="142" t="s">
        <v>6</v>
      </c>
      <c r="P4" s="142" t="s">
        <v>43</v>
      </c>
      <c r="Q4" s="143" t="s">
        <v>8</v>
      </c>
      <c r="R4" s="86" t="s">
        <v>9</v>
      </c>
      <c r="S4" s="144" t="s">
        <v>44</v>
      </c>
    </row>
    <row r="5" spans="1:37" ht="27.75" customHeight="1" thickBot="1">
      <c r="A5" s="10"/>
      <c r="B5" s="351">
        <v>1</v>
      </c>
      <c r="C5" s="352" t="s">
        <v>63</v>
      </c>
      <c r="D5" s="353" t="s">
        <v>64</v>
      </c>
      <c r="E5" s="422" t="s">
        <v>226</v>
      </c>
      <c r="F5" s="354" t="s">
        <v>65</v>
      </c>
      <c r="G5" s="355" t="s">
        <v>66</v>
      </c>
      <c r="H5" s="356" t="str">
        <f t="shared" ref="H5" si="0">UPPER(G5)</f>
        <v>PARTICIPAR QUESTEL ORBIT USER MEETING BRAZIL 2023</v>
      </c>
      <c r="I5" s="355" t="s">
        <v>67</v>
      </c>
      <c r="J5" s="357" t="s">
        <v>68</v>
      </c>
      <c r="K5" s="358">
        <v>31</v>
      </c>
      <c r="L5" s="358">
        <v>3</v>
      </c>
      <c r="M5" s="359">
        <v>309.32</v>
      </c>
      <c r="N5" s="359">
        <v>113.2</v>
      </c>
      <c r="O5" s="360">
        <v>0</v>
      </c>
      <c r="P5" s="361">
        <v>0</v>
      </c>
      <c r="Q5" s="362">
        <v>4759.6499999999996</v>
      </c>
      <c r="R5" s="363">
        <f>977.55+365</f>
        <v>1342.55</v>
      </c>
      <c r="S5" s="364">
        <f t="shared" ref="S5" si="1">M5+N5+O5+P5+Q5+R5</f>
        <v>6524.72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5.75" customHeight="1" thickBot="1">
      <c r="A6" s="10"/>
      <c r="B6" s="14"/>
      <c r="C6" s="15"/>
      <c r="D6" s="16"/>
      <c r="E6" s="16"/>
      <c r="F6" s="16"/>
      <c r="G6" s="16"/>
      <c r="H6" s="16"/>
      <c r="I6" s="16"/>
      <c r="J6" s="56"/>
      <c r="K6" s="57"/>
      <c r="L6" s="57"/>
      <c r="M6" s="17"/>
      <c r="N6" s="17"/>
      <c r="O6" s="17"/>
      <c r="P6" s="11"/>
      <c r="Q6" s="18"/>
      <c r="R6" s="19"/>
      <c r="S6" s="2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15.75" customHeight="1">
      <c r="A7" s="21"/>
      <c r="B7" s="58" t="s">
        <v>13</v>
      </c>
      <c r="C7" s="21"/>
      <c r="D7" s="59" t="s">
        <v>45</v>
      </c>
      <c r="E7" s="60"/>
      <c r="F7" s="21"/>
      <c r="G7" s="21"/>
      <c r="H7" s="21"/>
      <c r="I7" s="61"/>
      <c r="J7" s="21"/>
      <c r="K7" s="14"/>
      <c r="L7" s="21"/>
      <c r="M7" s="62">
        <f t="shared" ref="M7:R7" si="2">SUM(M5:M5)</f>
        <v>309.32</v>
      </c>
      <c r="N7" s="62">
        <f t="shared" si="2"/>
        <v>113.2</v>
      </c>
      <c r="O7" s="62">
        <f t="shared" si="2"/>
        <v>0</v>
      </c>
      <c r="P7" s="63">
        <f t="shared" si="2"/>
        <v>0</v>
      </c>
      <c r="Q7" s="64">
        <f t="shared" si="2"/>
        <v>4759.6499999999996</v>
      </c>
      <c r="R7" s="65">
        <f t="shared" si="2"/>
        <v>1342.55</v>
      </c>
      <c r="S7" s="23">
        <f>SUM(S5:S5)+P8</f>
        <v>6524.72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37" ht="15.75" customHeight="1">
      <c r="A8" s="24"/>
      <c r="B8" s="24"/>
      <c r="C8" s="24"/>
      <c r="D8" s="476"/>
      <c r="E8" s="472"/>
      <c r="F8" s="472"/>
      <c r="G8" s="472"/>
      <c r="H8" s="472"/>
      <c r="I8" s="472"/>
      <c r="J8" s="472"/>
      <c r="K8" s="472"/>
      <c r="L8" s="24"/>
      <c r="M8" s="25"/>
      <c r="N8" s="66"/>
      <c r="O8" s="66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75" customHeight="1">
      <c r="A9" s="24"/>
      <c r="B9" s="24"/>
      <c r="C9" s="24"/>
      <c r="D9" s="24"/>
      <c r="E9" s="24"/>
      <c r="F9" s="24"/>
      <c r="G9" s="24"/>
      <c r="H9" s="24"/>
      <c r="I9" s="27"/>
      <c r="J9" s="24"/>
      <c r="K9" s="24"/>
      <c r="L9" s="24"/>
      <c r="M9" s="25"/>
      <c r="N9" s="25"/>
      <c r="O9" s="25"/>
      <c r="P9" s="67">
        <f>P7+P8</f>
        <v>0</v>
      </c>
      <c r="Q9" s="28"/>
      <c r="R9" s="29"/>
      <c r="S9" s="68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477"/>
      <c r="E10" s="472"/>
      <c r="F10" s="472"/>
      <c r="G10" s="472"/>
      <c r="H10" s="472"/>
      <c r="I10" s="472"/>
      <c r="J10" s="472"/>
      <c r="K10" s="472"/>
      <c r="L10" s="24"/>
      <c r="M10" s="25"/>
      <c r="N10" s="25"/>
      <c r="O10" s="25"/>
      <c r="P10" s="11"/>
      <c r="Q10" s="4" t="s">
        <v>25</v>
      </c>
      <c r="R10" s="69">
        <f>M7+N7+O7+P9+Q7+R7</f>
        <v>6524.72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66"/>
      <c r="O11" s="66" t="s">
        <v>13</v>
      </c>
      <c r="P11" s="11" t="s">
        <v>47</v>
      </c>
      <c r="Q11" s="4"/>
      <c r="R11" s="5"/>
      <c r="S11" s="5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70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24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Q27" s="4"/>
      <c r="R27" s="5"/>
      <c r="S27" s="5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Q28" s="4"/>
      <c r="R28" s="5"/>
      <c r="S28" s="5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Q29" s="4"/>
      <c r="R29" s="5"/>
      <c r="S29" s="5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Q30" s="4"/>
      <c r="R30" s="5"/>
      <c r="S30" s="5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Q31" s="4"/>
      <c r="R31" s="5"/>
      <c r="S31" s="5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15.75" customHeight="1">
      <c r="C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D24" sqref="D2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6.5" customHeight="1">
      <c r="B2" s="478" t="s">
        <v>51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</row>
    <row r="3" spans="1:37" ht="32.25" customHeight="1" thickBot="1">
      <c r="A3" s="41"/>
      <c r="B3" s="71"/>
      <c r="C3" s="71"/>
      <c r="D3" s="71"/>
      <c r="E3" s="71"/>
      <c r="F3" s="79" t="s">
        <v>48</v>
      </c>
      <c r="G3" s="71"/>
      <c r="H3" s="71"/>
      <c r="I3" s="71"/>
      <c r="J3" s="71"/>
      <c r="K3" s="71"/>
      <c r="L3" s="71"/>
      <c r="M3" s="480" t="s">
        <v>0</v>
      </c>
      <c r="N3" s="481"/>
      <c r="O3" s="482"/>
      <c r="P3" s="42" t="s">
        <v>32</v>
      </c>
      <c r="Q3" s="483" t="s">
        <v>33</v>
      </c>
      <c r="R3" s="481"/>
      <c r="S3" s="48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1" t="s">
        <v>34</v>
      </c>
      <c r="C4" s="140" t="s">
        <v>35</v>
      </c>
      <c r="D4" s="154" t="s">
        <v>36</v>
      </c>
      <c r="E4" s="81" t="s">
        <v>37</v>
      </c>
      <c r="F4" s="81" t="s">
        <v>38</v>
      </c>
      <c r="G4" s="82" t="s">
        <v>39</v>
      </c>
      <c r="H4" s="81" t="s">
        <v>40</v>
      </c>
      <c r="I4" s="155" t="s">
        <v>41</v>
      </c>
      <c r="J4" s="485" t="s">
        <v>42</v>
      </c>
      <c r="K4" s="474"/>
      <c r="L4" s="475"/>
      <c r="M4" s="83" t="s">
        <v>4</v>
      </c>
      <c r="N4" s="84" t="s">
        <v>5</v>
      </c>
      <c r="O4" s="85" t="s">
        <v>6</v>
      </c>
      <c r="P4" s="85" t="s">
        <v>4</v>
      </c>
      <c r="Q4" s="106" t="s">
        <v>8</v>
      </c>
      <c r="R4" s="86" t="s">
        <v>9</v>
      </c>
      <c r="S4" s="87" t="s">
        <v>44</v>
      </c>
    </row>
    <row r="5" spans="1:37" ht="22.5" customHeight="1">
      <c r="A5" s="10"/>
      <c r="B5" s="107">
        <v>1</v>
      </c>
      <c r="C5" s="145"/>
      <c r="D5" s="165"/>
      <c r="E5" s="166"/>
      <c r="F5" s="167"/>
      <c r="G5" s="110"/>
      <c r="H5" s="146"/>
      <c r="I5" s="147"/>
      <c r="J5" s="168"/>
      <c r="K5" s="169"/>
      <c r="L5" s="169"/>
      <c r="M5" s="114"/>
      <c r="N5" s="114"/>
      <c r="O5" s="114"/>
      <c r="P5" s="170"/>
      <c r="Q5" s="148"/>
      <c r="R5" s="149"/>
      <c r="S5" s="117">
        <f t="shared" ref="S5:S7" si="0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2.5" customHeight="1">
      <c r="A6" s="10"/>
      <c r="B6" s="118">
        <v>2</v>
      </c>
      <c r="C6" s="45"/>
      <c r="D6" s="72"/>
      <c r="E6" s="55"/>
      <c r="F6" s="93"/>
      <c r="G6" s="46"/>
      <c r="H6" s="98"/>
      <c r="I6" s="54"/>
      <c r="J6" s="47"/>
      <c r="K6" s="48"/>
      <c r="L6" s="48"/>
      <c r="M6" s="49"/>
      <c r="N6" s="49"/>
      <c r="O6" s="49"/>
      <c r="P6" s="50"/>
      <c r="Q6" s="51"/>
      <c r="R6" s="52"/>
      <c r="S6" s="171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2.5" customHeight="1" thickBot="1">
      <c r="A7" s="10"/>
      <c r="B7" s="120">
        <v>3</v>
      </c>
      <c r="C7" s="135"/>
      <c r="D7" s="151"/>
      <c r="E7" s="172"/>
      <c r="F7" s="136"/>
      <c r="G7" s="123"/>
      <c r="H7" s="173"/>
      <c r="I7" s="174"/>
      <c r="J7" s="152"/>
      <c r="K7" s="137"/>
      <c r="L7" s="137"/>
      <c r="M7" s="128"/>
      <c r="N7" s="128"/>
      <c r="O7" s="128"/>
      <c r="P7" s="129"/>
      <c r="Q7" s="138"/>
      <c r="R7" s="139"/>
      <c r="S7" s="175">
        <f t="shared" si="0"/>
        <v>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15.75" customHeight="1" thickBot="1">
      <c r="A8" s="21"/>
      <c r="B8" s="156" t="s">
        <v>13</v>
      </c>
      <c r="C8" s="157"/>
      <c r="D8" s="158" t="s">
        <v>45</v>
      </c>
      <c r="E8" s="159"/>
      <c r="F8" s="157"/>
      <c r="G8" s="157"/>
      <c r="H8" s="157"/>
      <c r="I8" s="160"/>
      <c r="J8" s="157"/>
      <c r="K8" s="161"/>
      <c r="L8" s="157"/>
      <c r="M8" s="162">
        <f t="shared" ref="M8:R8" si="1">SUM(M5:M7)</f>
        <v>0</v>
      </c>
      <c r="N8" s="162">
        <f t="shared" si="1"/>
        <v>0</v>
      </c>
      <c r="O8" s="162">
        <f t="shared" si="1"/>
        <v>0</v>
      </c>
      <c r="P8" s="163">
        <f t="shared" si="1"/>
        <v>0</v>
      </c>
      <c r="Q8" s="64">
        <f t="shared" si="1"/>
        <v>0</v>
      </c>
      <c r="R8" s="65">
        <f t="shared" si="1"/>
        <v>0</v>
      </c>
      <c r="S8" s="164">
        <f>SUM(S5:S7)+P9</f>
        <v>0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ht="15.75" customHeight="1" thickBot="1">
      <c r="A9" s="24"/>
      <c r="B9" s="24"/>
      <c r="C9" s="24"/>
      <c r="D9" s="476"/>
      <c r="E9" s="472"/>
      <c r="F9" s="472"/>
      <c r="G9" s="472"/>
      <c r="H9" s="472"/>
      <c r="I9" s="472"/>
      <c r="J9" s="472"/>
      <c r="K9" s="472"/>
      <c r="L9" s="24"/>
      <c r="M9" s="25"/>
      <c r="N9" s="66"/>
      <c r="O9" s="66" t="s">
        <v>13</v>
      </c>
      <c r="P9" s="11">
        <f>P8*1%</f>
        <v>0</v>
      </c>
      <c r="Q9" s="24"/>
      <c r="R9" s="24"/>
      <c r="S9" s="29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15.75" customHeight="1">
      <c r="A10" s="24"/>
      <c r="B10" s="24"/>
      <c r="C10" s="24"/>
      <c r="D10" s="24"/>
      <c r="E10" s="24"/>
      <c r="F10" s="24"/>
      <c r="G10" s="24"/>
      <c r="H10" s="24"/>
      <c r="I10" s="27"/>
      <c r="J10" s="24"/>
      <c r="K10" s="24"/>
      <c r="L10" s="24"/>
      <c r="M10" s="25"/>
      <c r="N10" s="25"/>
      <c r="O10" s="25"/>
      <c r="P10" s="67">
        <f>P8+P9</f>
        <v>0</v>
      </c>
      <c r="Q10" s="28"/>
      <c r="R10" s="29"/>
      <c r="S10" s="68" t="s">
        <v>46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5.75" customHeight="1">
      <c r="A11" s="24"/>
      <c r="B11" s="24"/>
      <c r="C11" s="24"/>
      <c r="D11" s="477"/>
      <c r="E11" s="472"/>
      <c r="F11" s="472"/>
      <c r="G11" s="472"/>
      <c r="H11" s="472"/>
      <c r="I11" s="472"/>
      <c r="J11" s="472"/>
      <c r="K11" s="472"/>
      <c r="L11" s="24"/>
      <c r="M11" s="25"/>
      <c r="N11" s="25"/>
      <c r="O11" s="25"/>
      <c r="P11" s="11"/>
      <c r="Q11" s="4" t="s">
        <v>25</v>
      </c>
      <c r="R11" s="69">
        <f>M8+N8+O8+P10+Q8+R8</f>
        <v>0</v>
      </c>
      <c r="S11" s="34">
        <f>S8-R11</f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15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66"/>
      <c r="O12" s="66" t="s">
        <v>13</v>
      </c>
      <c r="P12" s="11" t="s">
        <v>47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70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</row>
    <row r="33" spans="3:12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</row>
    <row r="34" spans="3:12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</row>
    <row r="35" spans="3:12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</row>
    <row r="36" spans="3:12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2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2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2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2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2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2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2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2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2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2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2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2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workbookViewId="0">
      <selection activeCell="E18" sqref="E18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5.8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20" width="16.625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18.75" thickBot="1">
      <c r="B2" s="471" t="s">
        <v>52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</row>
    <row r="3" spans="1:37" ht="32.25" customHeight="1" thickBot="1">
      <c r="A3" s="41"/>
      <c r="B3" s="71"/>
      <c r="C3" s="71"/>
      <c r="D3" s="71"/>
      <c r="E3" s="71"/>
      <c r="F3" s="194"/>
      <c r="G3" s="71"/>
      <c r="H3" s="71"/>
      <c r="I3" s="71"/>
      <c r="J3" s="71"/>
      <c r="K3" s="71"/>
      <c r="L3" s="71"/>
      <c r="M3" s="486" t="s">
        <v>0</v>
      </c>
      <c r="N3" s="474"/>
      <c r="O3" s="475"/>
      <c r="P3" s="42" t="s">
        <v>32</v>
      </c>
      <c r="Q3" s="487" t="s">
        <v>33</v>
      </c>
      <c r="R3" s="481"/>
      <c r="S3" s="482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183" t="s">
        <v>34</v>
      </c>
      <c r="C4" s="184" t="s">
        <v>35</v>
      </c>
      <c r="D4" s="314" t="s">
        <v>36</v>
      </c>
      <c r="E4" s="315" t="s">
        <v>37</v>
      </c>
      <c r="F4" s="312" t="s">
        <v>38</v>
      </c>
      <c r="G4" s="316" t="s">
        <v>39</v>
      </c>
      <c r="H4" s="185" t="s">
        <v>40</v>
      </c>
      <c r="I4" s="317" t="s">
        <v>41</v>
      </c>
      <c r="J4" s="488" t="s">
        <v>42</v>
      </c>
      <c r="K4" s="489"/>
      <c r="L4" s="490"/>
      <c r="M4" s="320" t="s">
        <v>4</v>
      </c>
      <c r="N4" s="322" t="s">
        <v>5</v>
      </c>
      <c r="O4" s="321" t="s">
        <v>6</v>
      </c>
      <c r="P4" s="319" t="s">
        <v>4</v>
      </c>
      <c r="Q4" s="318" t="s">
        <v>8</v>
      </c>
      <c r="R4" s="87" t="s">
        <v>9</v>
      </c>
      <c r="S4" s="87" t="s">
        <v>44</v>
      </c>
    </row>
    <row r="5" spans="1:37" ht="22.5" customHeight="1">
      <c r="A5" s="10"/>
      <c r="B5" s="107">
        <v>1</v>
      </c>
      <c r="C5" s="108" t="s">
        <v>69</v>
      </c>
      <c r="D5" s="329" t="s">
        <v>74</v>
      </c>
      <c r="E5" s="386" t="s">
        <v>227</v>
      </c>
      <c r="F5" s="330" t="s">
        <v>75</v>
      </c>
      <c r="G5" s="331" t="s">
        <v>76</v>
      </c>
      <c r="H5" s="110" t="str">
        <f>UPPER(G5)</f>
        <v>PARTICIPAÇÃO NO 18º CONGRESSO NACIONAL DE PREGOEIROS</v>
      </c>
      <c r="I5" s="111" t="s">
        <v>93</v>
      </c>
      <c r="J5" s="332" t="s">
        <v>96</v>
      </c>
      <c r="K5" s="109">
        <v>27</v>
      </c>
      <c r="L5" s="113">
        <v>1</v>
      </c>
      <c r="M5" s="333">
        <v>176.94</v>
      </c>
      <c r="N5" s="333">
        <v>0</v>
      </c>
      <c r="O5" s="334">
        <v>0</v>
      </c>
      <c r="P5" s="115">
        <v>0</v>
      </c>
      <c r="Q5" s="116">
        <f>874.73+1152.55</f>
        <v>2027.28</v>
      </c>
      <c r="R5" s="239">
        <f>2300.6+131.53</f>
        <v>2432.13</v>
      </c>
      <c r="S5" s="343">
        <f t="shared" ref="S5:S19" si="0">M5+N5+O5+P5+Q5+R5</f>
        <v>4636.3500000000004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00" customFormat="1" ht="22.5" customHeight="1">
      <c r="A6" s="10"/>
      <c r="B6" s="179">
        <v>2</v>
      </c>
      <c r="C6" s="97" t="s">
        <v>70</v>
      </c>
      <c r="D6" s="99" t="s">
        <v>77</v>
      </c>
      <c r="E6" s="412" t="s">
        <v>228</v>
      </c>
      <c r="F6" s="99" t="s">
        <v>78</v>
      </c>
      <c r="G6" s="255" t="s">
        <v>79</v>
      </c>
      <c r="H6" s="177" t="str">
        <f>UPPER(G6)</f>
        <v>PARTICIPAR DA REUNIÃO EXECUTIVA DO MEC</v>
      </c>
      <c r="I6" s="101" t="s">
        <v>94</v>
      </c>
      <c r="J6" s="102">
        <v>44986</v>
      </c>
      <c r="K6" s="99">
        <v>13</v>
      </c>
      <c r="L6" s="103">
        <v>14</v>
      </c>
      <c r="M6" s="326">
        <v>0</v>
      </c>
      <c r="N6" s="326">
        <v>0</v>
      </c>
      <c r="O6" s="328">
        <v>0</v>
      </c>
      <c r="P6" s="241">
        <v>0</v>
      </c>
      <c r="Q6" s="104">
        <f>2309.73+1643.27</f>
        <v>3953</v>
      </c>
      <c r="R6" s="239">
        <f>611.48+221.1</f>
        <v>832.58</v>
      </c>
      <c r="S6" s="344">
        <f>M6+N6+O6+P6+Q6+R6</f>
        <v>4785.58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00" customFormat="1" ht="22.5" customHeight="1">
      <c r="A7" s="10"/>
      <c r="B7" s="179">
        <v>3</v>
      </c>
      <c r="C7" s="97" t="s">
        <v>71</v>
      </c>
      <c r="D7" s="99" t="s">
        <v>80</v>
      </c>
      <c r="E7" s="403" t="s">
        <v>229</v>
      </c>
      <c r="F7" s="313" t="s">
        <v>81</v>
      </c>
      <c r="G7" s="100" t="s">
        <v>79</v>
      </c>
      <c r="H7" s="177" t="str">
        <f t="shared" ref="H7:H19" si="1">UPPER(G7)</f>
        <v>PARTICIPAR DA REUNIÃO EXECUTIVA DO MEC</v>
      </c>
      <c r="I7" s="101" t="s">
        <v>94</v>
      </c>
      <c r="J7" s="102">
        <v>44986</v>
      </c>
      <c r="K7" s="99">
        <v>13</v>
      </c>
      <c r="L7" s="103">
        <v>14</v>
      </c>
      <c r="M7" s="326">
        <v>165.87</v>
      </c>
      <c r="N7" s="326">
        <v>0</v>
      </c>
      <c r="O7" s="328">
        <v>0</v>
      </c>
      <c r="P7" s="241">
        <v>0</v>
      </c>
      <c r="Q7" s="104">
        <f>2189.73+1465.27</f>
        <v>3655</v>
      </c>
      <c r="R7" s="239">
        <f>227.15+611.48</f>
        <v>838.63</v>
      </c>
      <c r="S7" s="344">
        <f t="shared" ref="S7:S18" si="2">M7+N7+O7+P7+Q7+R7</f>
        <v>4659.5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00" customFormat="1" ht="22.5" customHeight="1">
      <c r="A8" s="10"/>
      <c r="B8" s="179">
        <v>4</v>
      </c>
      <c r="C8" s="97" t="s">
        <v>72</v>
      </c>
      <c r="D8" s="99" t="s">
        <v>82</v>
      </c>
      <c r="E8" s="403" t="s">
        <v>230</v>
      </c>
      <c r="F8" s="304" t="s">
        <v>83</v>
      </c>
      <c r="G8" s="255" t="s">
        <v>79</v>
      </c>
      <c r="H8" s="177" t="str">
        <f t="shared" si="1"/>
        <v>PARTICIPAR DA REUNIÃO EXECUTIVA DO MEC</v>
      </c>
      <c r="I8" s="101" t="s">
        <v>94</v>
      </c>
      <c r="J8" s="102">
        <v>44986</v>
      </c>
      <c r="K8" s="99">
        <v>13</v>
      </c>
      <c r="L8" s="103">
        <v>14</v>
      </c>
      <c r="M8" s="326">
        <v>0</v>
      </c>
      <c r="N8" s="326">
        <v>0</v>
      </c>
      <c r="O8" s="328">
        <v>0</v>
      </c>
      <c r="P8" s="241">
        <v>0</v>
      </c>
      <c r="Q8" s="104">
        <f>1487.73+1465.27</f>
        <v>2953</v>
      </c>
      <c r="R8" s="307">
        <v>678</v>
      </c>
      <c r="S8" s="344">
        <f t="shared" si="2"/>
        <v>3631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00" customFormat="1" ht="27.75" customHeight="1" thickBot="1">
      <c r="A9" s="10"/>
      <c r="B9" s="179">
        <v>5</v>
      </c>
      <c r="C9" s="97" t="s">
        <v>73</v>
      </c>
      <c r="D9" s="99" t="s">
        <v>84</v>
      </c>
      <c r="E9" s="403" t="s">
        <v>231</v>
      </c>
      <c r="F9" s="335" t="s">
        <v>85</v>
      </c>
      <c r="G9" s="308" t="s">
        <v>86</v>
      </c>
      <c r="H9" s="177" t="str">
        <f t="shared" si="1"/>
        <v>PARTICIPAÇÃO NO 4º SEMINÁRIO NACIONAL DAS ESTATAIS</v>
      </c>
      <c r="I9" s="101" t="s">
        <v>95</v>
      </c>
      <c r="J9" s="305">
        <v>45017</v>
      </c>
      <c r="K9" s="310">
        <v>23</v>
      </c>
      <c r="L9" s="311">
        <v>26</v>
      </c>
      <c r="M9" s="326">
        <v>55.01</v>
      </c>
      <c r="N9" s="326">
        <v>157.81</v>
      </c>
      <c r="O9" s="328">
        <v>0</v>
      </c>
      <c r="P9" s="241">
        <v>0</v>
      </c>
      <c r="Q9" s="104">
        <f>650.73+439.55</f>
        <v>1090.28</v>
      </c>
      <c r="R9" s="307">
        <f>1082.7+55</f>
        <v>1137.7</v>
      </c>
      <c r="S9" s="344">
        <f t="shared" si="2"/>
        <v>2440.8000000000002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00" customFormat="1" ht="22.5" customHeight="1" thickBot="1">
      <c r="A10" s="10"/>
      <c r="B10" s="179">
        <v>6</v>
      </c>
      <c r="C10" s="97" t="s">
        <v>73</v>
      </c>
      <c r="D10" s="99" t="s">
        <v>87</v>
      </c>
      <c r="E10" s="403" t="s">
        <v>232</v>
      </c>
      <c r="F10" s="309" t="s">
        <v>88</v>
      </c>
      <c r="G10" s="308" t="s">
        <v>86</v>
      </c>
      <c r="H10" s="177" t="str">
        <f t="shared" si="1"/>
        <v>PARTICIPAÇÃO NO 4º SEMINÁRIO NACIONAL DAS ESTATAIS</v>
      </c>
      <c r="I10" s="101" t="s">
        <v>95</v>
      </c>
      <c r="J10" s="305">
        <v>45017</v>
      </c>
      <c r="K10" s="310">
        <v>23</v>
      </c>
      <c r="L10" s="311">
        <v>26</v>
      </c>
      <c r="M10" s="326">
        <v>0</v>
      </c>
      <c r="N10" s="326">
        <v>0</v>
      </c>
      <c r="O10" s="328">
        <v>0</v>
      </c>
      <c r="P10" s="241">
        <v>0</v>
      </c>
      <c r="Q10" s="104">
        <f>650.73+439.55</f>
        <v>1090.28</v>
      </c>
      <c r="R10" s="306">
        <v>0</v>
      </c>
      <c r="S10" s="344">
        <f t="shared" si="2"/>
        <v>1090.28</v>
      </c>
      <c r="T10" s="346" t="s">
        <v>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00" customFormat="1" ht="22.5" customHeight="1">
      <c r="A11" s="10"/>
      <c r="B11" s="179">
        <v>7</v>
      </c>
      <c r="C11" s="97" t="s">
        <v>73</v>
      </c>
      <c r="D11" s="99" t="s">
        <v>89</v>
      </c>
      <c r="E11" s="403" t="s">
        <v>233</v>
      </c>
      <c r="F11" s="309" t="s">
        <v>90</v>
      </c>
      <c r="G11" s="308" t="s">
        <v>86</v>
      </c>
      <c r="H11" s="177" t="str">
        <f t="shared" si="1"/>
        <v>PARTICIPAÇÃO NO 4º SEMINÁRIO NACIONAL DAS ESTATAIS</v>
      </c>
      <c r="I11" s="101" t="s">
        <v>95</v>
      </c>
      <c r="J11" s="305">
        <v>45017</v>
      </c>
      <c r="K11" s="310">
        <v>23</v>
      </c>
      <c r="L11" s="311">
        <v>26</v>
      </c>
      <c r="M11" s="326">
        <v>81.569999999999993</v>
      </c>
      <c r="N11" s="326">
        <v>62.66</v>
      </c>
      <c r="O11" s="328">
        <v>0</v>
      </c>
      <c r="P11" s="241">
        <v>0</v>
      </c>
      <c r="Q11" s="104">
        <f>650.73+439.55</f>
        <v>1090.28</v>
      </c>
      <c r="R11" s="307">
        <f>1082.7+56</f>
        <v>1138.7</v>
      </c>
      <c r="S11" s="344">
        <f t="shared" si="2"/>
        <v>2373.21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00" customFormat="1" ht="22.5" customHeight="1">
      <c r="A12" s="10"/>
      <c r="B12" s="179">
        <v>8</v>
      </c>
      <c r="C12" s="97" t="s">
        <v>73</v>
      </c>
      <c r="D12" s="99" t="s">
        <v>91</v>
      </c>
      <c r="E12" s="403" t="s">
        <v>234</v>
      </c>
      <c r="F12" s="304" t="s">
        <v>92</v>
      </c>
      <c r="G12" s="308" t="s">
        <v>86</v>
      </c>
      <c r="H12" s="177" t="str">
        <f t="shared" si="1"/>
        <v>PARTICIPAÇÃO NO 4º SEMINÁRIO NACIONAL DAS ESTATAIS</v>
      </c>
      <c r="I12" s="101" t="s">
        <v>95</v>
      </c>
      <c r="J12" s="305">
        <v>45017</v>
      </c>
      <c r="K12" s="310">
        <v>23</v>
      </c>
      <c r="L12" s="311">
        <v>26</v>
      </c>
      <c r="M12" s="326">
        <v>42.76</v>
      </c>
      <c r="N12" s="326">
        <v>150.11000000000001</v>
      </c>
      <c r="O12" s="328">
        <v>0</v>
      </c>
      <c r="P12" s="241">
        <v>0</v>
      </c>
      <c r="Q12" s="104">
        <f>650.73+439.55</f>
        <v>1090.28</v>
      </c>
      <c r="R12" s="307">
        <f>1082.7+71</f>
        <v>1153.7</v>
      </c>
      <c r="S12" s="344">
        <f t="shared" si="2"/>
        <v>2436.8500000000004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00" customFormat="1" ht="22.5" customHeight="1">
      <c r="A13" s="10"/>
      <c r="B13" s="179">
        <v>9</v>
      </c>
      <c r="C13" s="97" t="s">
        <v>97</v>
      </c>
      <c r="D13" s="99" t="s">
        <v>80</v>
      </c>
      <c r="E13" s="403" t="s">
        <v>229</v>
      </c>
      <c r="F13" s="304" t="s">
        <v>81</v>
      </c>
      <c r="G13" s="308" t="s">
        <v>104</v>
      </c>
      <c r="H13" s="177" t="str">
        <f t="shared" si="1"/>
        <v>REUNIÃO CONSELHO FISCAL DA BB PREVIDÊNCIA</v>
      </c>
      <c r="I13" s="101" t="s">
        <v>94</v>
      </c>
      <c r="J13" s="102">
        <v>44986</v>
      </c>
      <c r="K13" s="99">
        <v>22</v>
      </c>
      <c r="L13" s="103">
        <v>23</v>
      </c>
      <c r="M13" s="326">
        <v>0</v>
      </c>
      <c r="N13" s="326">
        <v>0</v>
      </c>
      <c r="O13" s="306">
        <v>0</v>
      </c>
      <c r="P13" s="241">
        <v>0</v>
      </c>
      <c r="Q13" s="327">
        <v>0</v>
      </c>
      <c r="R13" s="307">
        <v>0</v>
      </c>
      <c r="S13" s="344">
        <f t="shared" si="2"/>
        <v>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300" customFormat="1" ht="22.5" customHeight="1">
      <c r="A14" s="10"/>
      <c r="B14" s="179">
        <v>10</v>
      </c>
      <c r="C14" s="336" t="s">
        <v>98</v>
      </c>
      <c r="D14" s="99" t="s">
        <v>77</v>
      </c>
      <c r="E14" s="412" t="s">
        <v>228</v>
      </c>
      <c r="F14" s="99" t="s">
        <v>78</v>
      </c>
      <c r="G14" s="255" t="s">
        <v>105</v>
      </c>
      <c r="H14" s="177" t="str">
        <f t="shared" si="1"/>
        <v>PARTICIPAR DA REUNIÃO DA SEST</v>
      </c>
      <c r="I14" s="101" t="s">
        <v>113</v>
      </c>
      <c r="J14" s="305">
        <v>45017</v>
      </c>
      <c r="K14" s="99">
        <v>10</v>
      </c>
      <c r="L14" s="103">
        <v>10</v>
      </c>
      <c r="M14" s="326">
        <v>0</v>
      </c>
      <c r="N14" s="326">
        <v>0</v>
      </c>
      <c r="O14" s="306">
        <v>0</v>
      </c>
      <c r="P14" s="241">
        <v>0</v>
      </c>
      <c r="Q14" s="327">
        <f>699.73+929.27+2365.1</f>
        <v>3994.1</v>
      </c>
      <c r="R14" s="307">
        <v>0</v>
      </c>
      <c r="S14" s="344">
        <f t="shared" si="2"/>
        <v>3994.1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300" customFormat="1" ht="22.5" customHeight="1">
      <c r="A15" s="10"/>
      <c r="B15" s="179">
        <v>11</v>
      </c>
      <c r="C15" s="324" t="s">
        <v>99</v>
      </c>
      <c r="D15" s="99" t="s">
        <v>80</v>
      </c>
      <c r="E15" s="403" t="s">
        <v>229</v>
      </c>
      <c r="F15" s="313" t="s">
        <v>81</v>
      </c>
      <c r="G15" s="100" t="s">
        <v>105</v>
      </c>
      <c r="H15" s="177" t="str">
        <f t="shared" si="1"/>
        <v>PARTICIPAR DA REUNIÃO DA SEST</v>
      </c>
      <c r="I15" s="101" t="s">
        <v>114</v>
      </c>
      <c r="J15" s="305">
        <v>45017</v>
      </c>
      <c r="K15" s="99">
        <v>10</v>
      </c>
      <c r="L15" s="103">
        <v>10</v>
      </c>
      <c r="M15" s="326">
        <v>183.57</v>
      </c>
      <c r="N15" s="326">
        <v>82.8</v>
      </c>
      <c r="O15" s="306">
        <v>0</v>
      </c>
      <c r="P15" s="241">
        <v>0</v>
      </c>
      <c r="Q15" s="327">
        <f>698.73+929.27+2366.1</f>
        <v>3994.1</v>
      </c>
      <c r="R15" s="307">
        <v>0</v>
      </c>
      <c r="S15" s="344">
        <f t="shared" si="2"/>
        <v>4260.47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300" customFormat="1" ht="22.5" customHeight="1">
      <c r="A16" s="10"/>
      <c r="B16" s="179">
        <v>12</v>
      </c>
      <c r="C16" s="325" t="s">
        <v>100</v>
      </c>
      <c r="D16" s="99" t="s">
        <v>87</v>
      </c>
      <c r="E16" s="403" t="s">
        <v>232</v>
      </c>
      <c r="F16" s="309" t="s">
        <v>88</v>
      </c>
      <c r="G16" s="308" t="s">
        <v>106</v>
      </c>
      <c r="H16" s="177" t="str">
        <f t="shared" si="1"/>
        <v>AUDIÊNCIAS NO TCU</v>
      </c>
      <c r="I16" s="101" t="s">
        <v>114</v>
      </c>
      <c r="J16" s="102">
        <v>44986</v>
      </c>
      <c r="K16" s="99">
        <v>29</v>
      </c>
      <c r="L16" s="103">
        <v>29</v>
      </c>
      <c r="M16" s="326">
        <v>117.45</v>
      </c>
      <c r="N16" s="326">
        <v>0</v>
      </c>
      <c r="O16" s="306">
        <v>100</v>
      </c>
      <c r="P16" s="241">
        <v>0</v>
      </c>
      <c r="Q16" s="327">
        <v>3699</v>
      </c>
      <c r="R16" s="307">
        <v>0</v>
      </c>
      <c r="S16" s="344">
        <f t="shared" si="2"/>
        <v>3916.45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300" customFormat="1" ht="22.5" customHeight="1">
      <c r="A17" s="10"/>
      <c r="B17" s="179">
        <v>13</v>
      </c>
      <c r="C17" s="325" t="s">
        <v>101</v>
      </c>
      <c r="D17" s="99" t="s">
        <v>107</v>
      </c>
      <c r="E17" s="403" t="s">
        <v>235</v>
      </c>
      <c r="F17" s="309" t="s">
        <v>108</v>
      </c>
      <c r="G17" s="308" t="s">
        <v>106</v>
      </c>
      <c r="H17" s="177" t="str">
        <f t="shared" si="1"/>
        <v>AUDIÊNCIAS NO TCU</v>
      </c>
      <c r="I17" s="101" t="s">
        <v>114</v>
      </c>
      <c r="J17" s="102">
        <v>44986</v>
      </c>
      <c r="K17" s="99">
        <v>29</v>
      </c>
      <c r="L17" s="103">
        <v>29</v>
      </c>
      <c r="M17" s="326">
        <v>66</v>
      </c>
      <c r="N17" s="326">
        <v>0</v>
      </c>
      <c r="O17" s="306">
        <v>0</v>
      </c>
      <c r="P17" s="241">
        <v>0</v>
      </c>
      <c r="Q17" s="327">
        <v>3699</v>
      </c>
      <c r="R17" s="307">
        <v>0</v>
      </c>
      <c r="S17" s="344">
        <f t="shared" si="2"/>
        <v>3765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2.5" customHeight="1">
      <c r="A18" s="10"/>
      <c r="B18" s="179">
        <v>14</v>
      </c>
      <c r="C18" s="97" t="s">
        <v>102</v>
      </c>
      <c r="D18" s="99" t="s">
        <v>109</v>
      </c>
      <c r="E18" s="403" t="s">
        <v>236</v>
      </c>
      <c r="F18" s="304" t="s">
        <v>110</v>
      </c>
      <c r="G18" s="100" t="s">
        <v>105</v>
      </c>
      <c r="H18" s="177" t="str">
        <f t="shared" si="1"/>
        <v>PARTICIPAR DA REUNIÃO DA SEST</v>
      </c>
      <c r="I18" s="101" t="s">
        <v>114</v>
      </c>
      <c r="J18" s="305">
        <v>45017</v>
      </c>
      <c r="K18" s="99">
        <v>10</v>
      </c>
      <c r="L18" s="103">
        <v>10</v>
      </c>
      <c r="M18" s="326">
        <v>96.3</v>
      </c>
      <c r="N18" s="326">
        <v>0</v>
      </c>
      <c r="O18" s="306">
        <v>0</v>
      </c>
      <c r="P18" s="50">
        <v>0</v>
      </c>
      <c r="Q18" s="327">
        <f>1133.73+1534.27+1833</f>
        <v>4501</v>
      </c>
      <c r="R18" s="307">
        <v>0</v>
      </c>
      <c r="S18" s="344">
        <f t="shared" si="2"/>
        <v>4597.3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2.5" customHeight="1" thickBot="1">
      <c r="A19" s="10"/>
      <c r="B19" s="120">
        <v>15</v>
      </c>
      <c r="C19" s="337" t="s">
        <v>103</v>
      </c>
      <c r="D19" s="126" t="s">
        <v>111</v>
      </c>
      <c r="E19" s="414" t="s">
        <v>237</v>
      </c>
      <c r="F19" s="121" t="s">
        <v>112</v>
      </c>
      <c r="G19" s="122" t="s">
        <v>105</v>
      </c>
      <c r="H19" s="290" t="str">
        <f t="shared" si="1"/>
        <v>PARTICIPAR DA REUNIÃO DA SEST</v>
      </c>
      <c r="I19" s="124" t="s">
        <v>114</v>
      </c>
      <c r="J19" s="338">
        <v>45017</v>
      </c>
      <c r="K19" s="126">
        <v>10</v>
      </c>
      <c r="L19" s="127">
        <v>10</v>
      </c>
      <c r="M19" s="339">
        <v>61.59</v>
      </c>
      <c r="N19" s="339">
        <v>92.8</v>
      </c>
      <c r="O19" s="340">
        <v>0</v>
      </c>
      <c r="P19" s="153">
        <v>0</v>
      </c>
      <c r="Q19" s="341">
        <f>1133.73+1308.27+2285</f>
        <v>4727</v>
      </c>
      <c r="R19" s="307">
        <v>0</v>
      </c>
      <c r="S19" s="345">
        <f t="shared" si="0"/>
        <v>4881.3900000000003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5.75" customHeight="1" thickBot="1">
      <c r="A20" s="10"/>
      <c r="B20" s="14"/>
      <c r="C20" s="15"/>
      <c r="D20" s="16"/>
      <c r="E20" s="16"/>
      <c r="F20" s="16"/>
      <c r="G20" s="16"/>
      <c r="H20" s="16"/>
      <c r="I20" s="16"/>
      <c r="J20" s="56"/>
      <c r="K20" s="57"/>
      <c r="L20" s="57"/>
      <c r="M20" s="17"/>
      <c r="N20" s="17"/>
      <c r="O20" s="17"/>
      <c r="P20" s="11"/>
      <c r="Q20" s="18"/>
      <c r="R20" s="307"/>
      <c r="S20" s="2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5.75" customHeight="1" thickBot="1">
      <c r="A21" s="21"/>
      <c r="B21" s="58" t="s">
        <v>13</v>
      </c>
      <c r="C21" s="21"/>
      <c r="D21" s="59" t="s">
        <v>45</v>
      </c>
      <c r="E21" s="60"/>
      <c r="F21" s="21"/>
      <c r="G21" s="21"/>
      <c r="H21" s="21"/>
      <c r="I21" s="61"/>
      <c r="J21" s="21"/>
      <c r="K21" s="14"/>
      <c r="L21" s="21"/>
      <c r="M21" s="62">
        <f t="shared" ref="M21:R21" si="3">SUM(M5:M19)</f>
        <v>1047.06</v>
      </c>
      <c r="N21" s="62">
        <f t="shared" si="3"/>
        <v>546.18000000000006</v>
      </c>
      <c r="O21" s="62">
        <f t="shared" si="3"/>
        <v>100</v>
      </c>
      <c r="P21" s="74">
        <f t="shared" si="3"/>
        <v>0</v>
      </c>
      <c r="Q21" s="64">
        <f t="shared" si="3"/>
        <v>41563.599999999999</v>
      </c>
      <c r="R21" s="65">
        <f t="shared" si="3"/>
        <v>8211.44</v>
      </c>
      <c r="S21" s="23">
        <f>SUM(S5:S19)+P22</f>
        <v>51468.28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5.75" customHeight="1">
      <c r="A22" s="24"/>
      <c r="B22" s="24"/>
      <c r="C22" s="24"/>
      <c r="D22" s="476"/>
      <c r="E22" s="472"/>
      <c r="F22" s="472"/>
      <c r="G22" s="472"/>
      <c r="H22" s="472"/>
      <c r="I22" s="472"/>
      <c r="J22" s="472"/>
      <c r="K22" s="472"/>
      <c r="L22" s="24"/>
      <c r="M22" s="25"/>
      <c r="N22" s="25"/>
      <c r="O22" s="66" t="s">
        <v>13</v>
      </c>
      <c r="P22" s="11">
        <f>P21*1%</f>
        <v>0</v>
      </c>
      <c r="Q22" s="24"/>
      <c r="R22" s="24"/>
      <c r="S22" s="29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15.75" customHeight="1">
      <c r="A23" s="24"/>
      <c r="B23" s="24"/>
      <c r="C23" s="24"/>
      <c r="D23" s="60"/>
      <c r="E23" s="60"/>
      <c r="F23" s="24"/>
      <c r="G23" s="24"/>
      <c r="H23" s="24"/>
      <c r="I23" s="27"/>
      <c r="J23" s="24"/>
      <c r="K23" s="24"/>
      <c r="L23" s="24"/>
      <c r="M23" s="25"/>
      <c r="N23" s="25"/>
      <c r="O23" s="25"/>
      <c r="P23" s="67">
        <f>P21+P22</f>
        <v>0</v>
      </c>
      <c r="Q23" s="28"/>
      <c r="R23" s="29"/>
      <c r="S23" s="68" t="s">
        <v>46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15.75" customHeight="1">
      <c r="A24" s="24"/>
      <c r="B24" s="24"/>
      <c r="C24" s="24"/>
      <c r="D24" s="477"/>
      <c r="E24" s="472"/>
      <c r="F24" s="472"/>
      <c r="G24" s="472"/>
      <c r="H24" s="472"/>
      <c r="I24" s="472"/>
      <c r="J24" s="472"/>
      <c r="K24" s="472"/>
      <c r="L24" s="24"/>
      <c r="M24" s="25"/>
      <c r="N24" s="25"/>
      <c r="O24" s="25"/>
      <c r="P24" s="11"/>
      <c r="Q24" s="4" t="s">
        <v>25</v>
      </c>
      <c r="R24" s="69">
        <f>M21+N21+O21+P23+Q21+R21</f>
        <v>51468.28</v>
      </c>
      <c r="S24" s="34">
        <f>S21-R24</f>
        <v>0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66" t="s">
        <v>13</v>
      </c>
      <c r="P25" s="11" t="s">
        <v>47</v>
      </c>
      <c r="Q25" s="4"/>
      <c r="R25" s="5"/>
      <c r="S25" s="5"/>
    </row>
    <row r="26" spans="1:37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11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</row>
    <row r="33" spans="3:16" ht="15.75" customHeight="1">
      <c r="C33" s="1"/>
      <c r="I33" s="2"/>
      <c r="J33" s="40"/>
      <c r="K33" s="40"/>
      <c r="L33" s="40"/>
      <c r="M33" s="3"/>
      <c r="N33" s="3"/>
      <c r="O33" s="3"/>
      <c r="P33" s="11"/>
    </row>
    <row r="34" spans="3:16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11"/>
    </row>
    <row r="35" spans="3:16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70"/>
    </row>
    <row r="36" spans="3:16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6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P37" s="24"/>
    </row>
    <row r="38" spans="3:16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P38" s="24"/>
    </row>
    <row r="39" spans="3:16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6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6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6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6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6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6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6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6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6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15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15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15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D102" s="1"/>
      <c r="E102" s="1"/>
      <c r="F102" s="1"/>
      <c r="G102" s="1"/>
      <c r="H102" s="1"/>
      <c r="I102" s="2"/>
      <c r="J102" s="40"/>
      <c r="K102" s="40"/>
      <c r="L102" s="40"/>
    </row>
    <row r="103" spans="3:19" ht="15.75" customHeight="1">
      <c r="C103" s="1"/>
      <c r="D103" s="1"/>
      <c r="E103" s="1"/>
      <c r="F103" s="1"/>
      <c r="G103" s="1"/>
      <c r="H103" s="1"/>
      <c r="I103" s="2"/>
      <c r="J103" s="40"/>
      <c r="K103" s="40"/>
      <c r="L103" s="40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</sheetData>
  <sheetProtection password="CC27" sheet="1" objects="1" scenarios="1"/>
  <mergeCells count="6">
    <mergeCell ref="D24:K24"/>
    <mergeCell ref="B2:S2"/>
    <mergeCell ref="M3:O3"/>
    <mergeCell ref="Q3:S3"/>
    <mergeCell ref="J4:L4"/>
    <mergeCell ref="D22:K22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workbookViewId="0">
      <selection activeCell="F11" sqref="F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.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5.75" style="299" customWidth="1"/>
    <col min="21" max="37" width="7.625" customWidth="1"/>
  </cols>
  <sheetData>
    <row r="1" spans="1:37">
      <c r="C1" s="1"/>
      <c r="I1" s="2"/>
      <c r="J1" s="40"/>
      <c r="K1" s="40"/>
      <c r="L1" s="40"/>
      <c r="M1" s="3"/>
      <c r="N1" s="3"/>
      <c r="O1" s="3"/>
      <c r="Q1" s="4"/>
      <c r="R1" s="5"/>
      <c r="S1" s="5"/>
      <c r="T1" s="5"/>
    </row>
    <row r="2" spans="1:37" ht="18.75" thickBot="1">
      <c r="A2" s="41"/>
      <c r="B2" s="478" t="s">
        <v>53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30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/>
      <c r="F3" s="194"/>
      <c r="G3" s="6"/>
      <c r="H3" s="6"/>
      <c r="I3" s="6"/>
      <c r="J3" s="6"/>
      <c r="K3" s="6"/>
      <c r="L3" s="6"/>
      <c r="M3" s="480" t="s">
        <v>0</v>
      </c>
      <c r="N3" s="481"/>
      <c r="O3" s="482"/>
      <c r="P3" s="42" t="s">
        <v>32</v>
      </c>
      <c r="Q3" s="483" t="s">
        <v>33</v>
      </c>
      <c r="R3" s="481"/>
      <c r="S3" s="482"/>
      <c r="T3" s="301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81" t="s">
        <v>34</v>
      </c>
      <c r="C4" s="80" t="s">
        <v>35</v>
      </c>
      <c r="D4" s="105" t="s">
        <v>36</v>
      </c>
      <c r="E4" s="81" t="s">
        <v>37</v>
      </c>
      <c r="F4" s="81" t="s">
        <v>38</v>
      </c>
      <c r="G4" s="82" t="s">
        <v>39</v>
      </c>
      <c r="H4" s="81" t="s">
        <v>40</v>
      </c>
      <c r="I4" s="81" t="s">
        <v>41</v>
      </c>
      <c r="J4" s="484" t="s">
        <v>42</v>
      </c>
      <c r="K4" s="474"/>
      <c r="L4" s="475"/>
      <c r="M4" s="83" t="s">
        <v>4</v>
      </c>
      <c r="N4" s="84" t="s">
        <v>5</v>
      </c>
      <c r="O4" s="85" t="s">
        <v>6</v>
      </c>
      <c r="P4" s="85" t="s">
        <v>4</v>
      </c>
      <c r="Q4" s="106" t="s">
        <v>8</v>
      </c>
      <c r="R4" s="86" t="s">
        <v>9</v>
      </c>
      <c r="S4" s="87" t="s">
        <v>44</v>
      </c>
      <c r="T4" s="303"/>
    </row>
    <row r="5" spans="1:37" ht="23.25" customHeight="1">
      <c r="A5" s="10"/>
      <c r="B5" s="107">
        <v>1</v>
      </c>
      <c r="C5" s="108" t="s">
        <v>116</v>
      </c>
      <c r="D5" s="329" t="s">
        <v>118</v>
      </c>
      <c r="E5" s="386" t="s">
        <v>238</v>
      </c>
      <c r="F5" s="109" t="s">
        <v>119</v>
      </c>
      <c r="G5" s="347" t="s">
        <v>120</v>
      </c>
      <c r="H5" s="110" t="str">
        <f t="shared" ref="H5:H7" si="0">UPPER(G5)</f>
        <v>ASSEMBLEIA GERAL EXTRAORDINÁRIA Nº 029 E ASSEMBLEIA GERAL ORDINÁRIA Nº 030</v>
      </c>
      <c r="I5" s="111" t="s">
        <v>126</v>
      </c>
      <c r="J5" s="112">
        <v>45017</v>
      </c>
      <c r="K5" s="109">
        <v>25</v>
      </c>
      <c r="L5" s="113">
        <v>25</v>
      </c>
      <c r="M5" s="333">
        <v>113.35</v>
      </c>
      <c r="N5" s="333">
        <v>39.26</v>
      </c>
      <c r="O5" s="114"/>
      <c r="P5" s="115">
        <v>0</v>
      </c>
      <c r="Q5" s="348">
        <v>1327</v>
      </c>
      <c r="R5" s="349">
        <v>0</v>
      </c>
      <c r="S5" s="117">
        <f t="shared" ref="S5:S7" si="1">M5+N5+O5+P5+Q5+R5</f>
        <v>1479.61</v>
      </c>
      <c r="T5" s="302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3.25" customHeight="1">
      <c r="A6" s="10"/>
      <c r="B6" s="118">
        <v>2</v>
      </c>
      <c r="C6" s="97" t="s">
        <v>73</v>
      </c>
      <c r="D6" s="99" t="s">
        <v>121</v>
      </c>
      <c r="E6" s="403" t="s">
        <v>239</v>
      </c>
      <c r="F6" s="304" t="s">
        <v>122</v>
      </c>
      <c r="G6" s="308" t="s">
        <v>86</v>
      </c>
      <c r="H6" s="46" t="str">
        <f t="shared" si="0"/>
        <v>PARTICIPAÇÃO NO 4º SEMINÁRIO NACIONAL DAS ESTATAIS</v>
      </c>
      <c r="I6" s="101" t="s">
        <v>95</v>
      </c>
      <c r="J6" s="102">
        <v>45017</v>
      </c>
      <c r="K6" s="99">
        <v>23</v>
      </c>
      <c r="L6" s="103">
        <v>26</v>
      </c>
      <c r="M6" s="326">
        <v>66.900000000000006</v>
      </c>
      <c r="N6" s="326">
        <v>57.42</v>
      </c>
      <c r="O6" s="49"/>
      <c r="P6" s="50">
        <v>0</v>
      </c>
      <c r="Q6" s="327">
        <f>1331.73+894.55</f>
        <v>2226.2799999999997</v>
      </c>
      <c r="R6" s="307">
        <f>1082.7+142.2</f>
        <v>1224.9000000000001</v>
      </c>
      <c r="S6" s="119">
        <f t="shared" si="1"/>
        <v>3575.5</v>
      </c>
      <c r="T6" s="302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94" customFormat="1" ht="22.5" customHeight="1" thickBot="1">
      <c r="A7" s="10"/>
      <c r="B7" s="120">
        <v>3</v>
      </c>
      <c r="C7" s="193" t="s">
        <v>117</v>
      </c>
      <c r="D7" s="126" t="s">
        <v>123</v>
      </c>
      <c r="E7" s="414" t="s">
        <v>240</v>
      </c>
      <c r="F7" s="121" t="s">
        <v>124</v>
      </c>
      <c r="G7" s="350" t="s">
        <v>125</v>
      </c>
      <c r="H7" s="123" t="str">
        <f t="shared" si="0"/>
        <v>ENCONTRO DE SERVIÇOS DE ABORTO LEGAL - FAC. SAÚDE PÚBLICA DA USP /SP</v>
      </c>
      <c r="I7" s="124" t="s">
        <v>127</v>
      </c>
      <c r="J7" s="125">
        <v>45017</v>
      </c>
      <c r="K7" s="126">
        <v>29</v>
      </c>
      <c r="L7" s="127">
        <v>29</v>
      </c>
      <c r="M7" s="339">
        <v>142.46</v>
      </c>
      <c r="N7" s="339">
        <v>79.5</v>
      </c>
      <c r="O7" s="128"/>
      <c r="P7" s="153">
        <v>0</v>
      </c>
      <c r="Q7" s="341">
        <v>5224.5600000000004</v>
      </c>
      <c r="R7" s="342">
        <v>0</v>
      </c>
      <c r="S7" s="132">
        <f t="shared" si="1"/>
        <v>5446.52</v>
      </c>
      <c r="T7" s="302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thickBot="1">
      <c r="A8" s="10"/>
      <c r="B8" s="14"/>
      <c r="C8" s="15"/>
      <c r="D8" s="16"/>
      <c r="E8" s="16"/>
      <c r="F8" s="16"/>
      <c r="G8" s="16"/>
      <c r="H8" s="16"/>
      <c r="I8" s="16"/>
      <c r="J8" s="56"/>
      <c r="K8" s="57"/>
      <c r="L8" s="57"/>
      <c r="M8" s="17"/>
      <c r="N8" s="17"/>
      <c r="O8" s="17"/>
      <c r="P8" s="11"/>
      <c r="Q8" s="18"/>
      <c r="R8" s="19"/>
      <c r="S8" s="20"/>
      <c r="T8" s="2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6.5" thickBot="1">
      <c r="A9" s="21"/>
      <c r="B9" s="58" t="s">
        <v>13</v>
      </c>
      <c r="C9" s="21"/>
      <c r="D9" s="59" t="s">
        <v>45</v>
      </c>
      <c r="E9" s="60"/>
      <c r="F9" s="21"/>
      <c r="G9" s="21"/>
      <c r="H9" s="21"/>
      <c r="I9" s="61"/>
      <c r="J9" s="21"/>
      <c r="K9" s="14"/>
      <c r="L9" s="21"/>
      <c r="M9" s="73">
        <f t="shared" ref="M9:R9" si="2">SUM(M5:M7)</f>
        <v>322.71000000000004</v>
      </c>
      <c r="N9" s="73">
        <f t="shared" si="2"/>
        <v>176.18</v>
      </c>
      <c r="O9" s="73">
        <f t="shared" si="2"/>
        <v>0</v>
      </c>
      <c r="P9" s="76">
        <f t="shared" si="2"/>
        <v>0</v>
      </c>
      <c r="Q9" s="64">
        <f t="shared" si="2"/>
        <v>8777.84</v>
      </c>
      <c r="R9" s="65">
        <f t="shared" si="2"/>
        <v>1224.9000000000001</v>
      </c>
      <c r="S9" s="23">
        <f>SUM(S5:S7)+P10</f>
        <v>10501.630000000001</v>
      </c>
      <c r="T9" s="2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</row>
    <row r="10" spans="1:37" ht="16.5" thickBot="1">
      <c r="A10" s="24"/>
      <c r="B10" s="24"/>
      <c r="C10" s="24"/>
      <c r="D10" s="476"/>
      <c r="E10" s="472"/>
      <c r="F10" s="472"/>
      <c r="G10" s="472"/>
      <c r="H10" s="472"/>
      <c r="I10" s="472"/>
      <c r="J10" s="472"/>
      <c r="K10" s="472"/>
      <c r="L10" s="24"/>
      <c r="M10" s="25"/>
      <c r="N10" s="25"/>
      <c r="O10" s="66" t="s">
        <v>13</v>
      </c>
      <c r="P10" s="11">
        <f>P9*1%</f>
        <v>0</v>
      </c>
      <c r="Q10" s="24"/>
      <c r="R10" s="24"/>
      <c r="S10" s="29"/>
      <c r="T10" s="29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16.5" thickBot="1">
      <c r="A11" s="24"/>
      <c r="B11" s="24"/>
      <c r="C11" s="60"/>
      <c r="D11" s="60"/>
      <c r="E11" s="60"/>
      <c r="F11" s="60"/>
      <c r="G11" s="24"/>
      <c r="H11" s="24"/>
      <c r="I11" s="27"/>
      <c r="J11" s="24"/>
      <c r="K11" s="24"/>
      <c r="L11" s="24"/>
      <c r="M11" s="25"/>
      <c r="N11" s="25"/>
      <c r="O11" s="25"/>
      <c r="P11" s="67">
        <f>P9+P10</f>
        <v>0</v>
      </c>
      <c r="Q11" s="28"/>
      <c r="R11" s="29"/>
      <c r="S11" s="68" t="s">
        <v>46</v>
      </c>
      <c r="T11" s="68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>
      <c r="A12" s="24"/>
      <c r="B12" s="24"/>
      <c r="C12" s="24"/>
      <c r="D12" s="477"/>
      <c r="E12" s="472"/>
      <c r="F12" s="472"/>
      <c r="G12" s="472"/>
      <c r="H12" s="472"/>
      <c r="I12" s="472"/>
      <c r="J12" s="472"/>
      <c r="K12" s="472"/>
      <c r="L12" s="24"/>
      <c r="M12" s="25"/>
      <c r="N12" s="25"/>
      <c r="O12" s="25"/>
      <c r="P12" s="11"/>
      <c r="Q12" s="4" t="s">
        <v>25</v>
      </c>
      <c r="R12" s="69">
        <f>M9+N9+O9+P11+Q9+R9</f>
        <v>10501.63</v>
      </c>
      <c r="S12" s="34">
        <f>S9-R12</f>
        <v>0</v>
      </c>
      <c r="T12" s="3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66" t="s">
        <v>13</v>
      </c>
      <c r="P13" s="11" t="s">
        <v>47</v>
      </c>
      <c r="Q13" s="4"/>
      <c r="R13" s="5"/>
      <c r="S13" s="5"/>
      <c r="T13" s="5"/>
    </row>
    <row r="14" spans="1:37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  <c r="T14" s="5"/>
    </row>
    <row r="15" spans="1:37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  <c r="T15" s="5"/>
    </row>
    <row r="16" spans="1:37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  <c r="T16" s="5"/>
    </row>
    <row r="17" spans="3:20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  <c r="T17" s="5"/>
    </row>
    <row r="18" spans="3:20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  <c r="T18" s="5"/>
    </row>
    <row r="19" spans="3:20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  <c r="T19" s="5"/>
    </row>
    <row r="20" spans="3:20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  <c r="T20" s="5"/>
    </row>
    <row r="21" spans="3:20" ht="15.75" customHeight="1">
      <c r="C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  <c r="T21" s="5"/>
    </row>
    <row r="22" spans="3:20" ht="15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  <c r="T22" s="5"/>
    </row>
    <row r="23" spans="3:20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70"/>
      <c r="Q23" s="4"/>
      <c r="R23" s="5"/>
      <c r="S23" s="5"/>
      <c r="T23" s="5"/>
    </row>
    <row r="24" spans="3:20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20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20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20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20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20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20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20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20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20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20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20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20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20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20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20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20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20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20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20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20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  <c r="T92" s="5"/>
    </row>
    <row r="93" spans="3:20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  <c r="T93" s="5"/>
    </row>
    <row r="94" spans="3:20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  <c r="T94" s="5"/>
    </row>
    <row r="95" spans="3:20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  <c r="T95" s="5"/>
    </row>
    <row r="96" spans="3:20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  <c r="T96" s="5"/>
    </row>
    <row r="97" spans="3:20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  <c r="T97" s="5"/>
    </row>
    <row r="98" spans="3:20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  <c r="T98" s="5"/>
    </row>
    <row r="99" spans="3:20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  <c r="T99" s="5"/>
    </row>
    <row r="100" spans="3:20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  <c r="T100" s="5"/>
    </row>
    <row r="101" spans="3:20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  <c r="T101" s="5"/>
    </row>
    <row r="102" spans="3:20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  <c r="T102" s="5"/>
    </row>
    <row r="103" spans="3:20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  <c r="T103" s="5"/>
    </row>
    <row r="104" spans="3:20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  <c r="T104" s="5"/>
    </row>
    <row r="105" spans="3:20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  <c r="T105" s="5"/>
    </row>
    <row r="106" spans="3:20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  <c r="T106" s="5"/>
    </row>
    <row r="107" spans="3:20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  <c r="T107" s="5"/>
    </row>
    <row r="108" spans="3:20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  <c r="T108" s="5"/>
    </row>
    <row r="109" spans="3:20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  <c r="T109" s="5"/>
    </row>
    <row r="110" spans="3:20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  <c r="T110" s="5"/>
    </row>
    <row r="111" spans="3:20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  <c r="T111" s="5"/>
    </row>
    <row r="112" spans="3:20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  <c r="T112" s="5"/>
    </row>
    <row r="113" spans="3:20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  <c r="T113" s="5"/>
    </row>
    <row r="114" spans="3:20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  <c r="T114" s="5"/>
    </row>
    <row r="115" spans="3:20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  <c r="T115" s="5"/>
    </row>
    <row r="116" spans="3:20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  <c r="T116" s="5"/>
    </row>
    <row r="117" spans="3:20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  <c r="T117" s="5"/>
    </row>
    <row r="118" spans="3:20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  <c r="T118" s="5"/>
    </row>
    <row r="119" spans="3:20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  <c r="T119" s="5"/>
    </row>
    <row r="120" spans="3:20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  <c r="T120" s="5"/>
    </row>
    <row r="121" spans="3:20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  <c r="T121" s="5"/>
    </row>
    <row r="122" spans="3:20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  <c r="T122" s="5"/>
    </row>
    <row r="123" spans="3:20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  <c r="T123" s="5"/>
    </row>
    <row r="124" spans="3:20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  <c r="T124" s="5"/>
    </row>
    <row r="125" spans="3:20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  <c r="T125" s="5"/>
    </row>
    <row r="126" spans="3:20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  <c r="T126" s="5"/>
    </row>
    <row r="127" spans="3:20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  <c r="T127" s="5"/>
    </row>
    <row r="128" spans="3:20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  <c r="T128" s="5"/>
    </row>
    <row r="129" spans="3:20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  <c r="T129" s="5"/>
    </row>
    <row r="130" spans="3:20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  <c r="T130" s="5"/>
    </row>
    <row r="131" spans="3:20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  <c r="T131" s="5"/>
    </row>
    <row r="132" spans="3:20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  <c r="T132" s="5"/>
    </row>
    <row r="133" spans="3:20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  <c r="T133" s="5"/>
    </row>
    <row r="134" spans="3:20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  <c r="T134" s="5"/>
    </row>
    <row r="135" spans="3:20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  <c r="T135" s="5"/>
    </row>
    <row r="136" spans="3:20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  <c r="T136" s="5"/>
    </row>
    <row r="137" spans="3:20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  <c r="T137" s="5"/>
    </row>
    <row r="138" spans="3:20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  <c r="T138" s="5"/>
    </row>
    <row r="139" spans="3:20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  <c r="T139" s="5"/>
    </row>
    <row r="140" spans="3:20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  <c r="T140" s="5"/>
    </row>
    <row r="141" spans="3:20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  <c r="T141" s="5"/>
    </row>
    <row r="142" spans="3:20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  <c r="T142" s="5"/>
    </row>
    <row r="143" spans="3:20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  <c r="T143" s="5"/>
    </row>
    <row r="144" spans="3:20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  <c r="T144" s="5"/>
    </row>
    <row r="145" spans="3:20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  <c r="T145" s="5"/>
    </row>
    <row r="146" spans="3:20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  <c r="T146" s="5"/>
    </row>
    <row r="147" spans="3:20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  <c r="T147" s="5"/>
    </row>
    <row r="148" spans="3:20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  <c r="T148" s="5"/>
    </row>
    <row r="149" spans="3:20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  <c r="T149" s="5"/>
    </row>
    <row r="150" spans="3:20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  <c r="T150" s="5"/>
    </row>
    <row r="151" spans="3:20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  <c r="T151" s="5"/>
    </row>
    <row r="152" spans="3:20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  <c r="T152" s="5"/>
    </row>
    <row r="153" spans="3:20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  <c r="T153" s="5"/>
    </row>
    <row r="154" spans="3:20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  <c r="T154" s="5"/>
    </row>
    <row r="155" spans="3:20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  <c r="T155" s="5"/>
    </row>
    <row r="156" spans="3:20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  <c r="T156" s="5"/>
    </row>
    <row r="157" spans="3:20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  <c r="T157" s="5"/>
    </row>
    <row r="158" spans="3:20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  <c r="T158" s="5"/>
    </row>
    <row r="159" spans="3:20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  <c r="T159" s="5"/>
    </row>
    <row r="160" spans="3:20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  <c r="T160" s="5"/>
    </row>
    <row r="161" spans="3:20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  <c r="T161" s="5"/>
    </row>
    <row r="162" spans="3:20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  <c r="T162" s="5"/>
    </row>
    <row r="163" spans="3:20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  <c r="T163" s="5"/>
    </row>
    <row r="164" spans="3:20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  <c r="T164" s="5"/>
    </row>
    <row r="165" spans="3:20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  <c r="T165" s="5"/>
    </row>
    <row r="166" spans="3:20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  <c r="T166" s="5"/>
    </row>
    <row r="167" spans="3:20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  <c r="T167" s="5"/>
    </row>
    <row r="168" spans="3:20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  <c r="T168" s="5"/>
    </row>
    <row r="169" spans="3:20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  <c r="T169" s="5"/>
    </row>
    <row r="170" spans="3:20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  <c r="T170" s="5"/>
    </row>
    <row r="171" spans="3:20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  <c r="T171" s="5"/>
    </row>
    <row r="172" spans="3:20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  <c r="T172" s="5"/>
    </row>
    <row r="173" spans="3:20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  <c r="T173" s="5"/>
    </row>
    <row r="174" spans="3:20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  <c r="T174" s="5"/>
    </row>
    <row r="175" spans="3:20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  <c r="T175" s="5"/>
    </row>
    <row r="176" spans="3:20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  <c r="T176" s="5"/>
    </row>
    <row r="177" spans="3:20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  <c r="T177" s="5"/>
    </row>
    <row r="178" spans="3:20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  <c r="T178" s="5"/>
    </row>
    <row r="179" spans="3:20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  <c r="T179" s="5"/>
    </row>
    <row r="180" spans="3:20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  <c r="T180" s="5"/>
    </row>
    <row r="181" spans="3:20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  <c r="T181" s="5"/>
    </row>
    <row r="182" spans="3:20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  <c r="T182" s="5"/>
    </row>
    <row r="183" spans="3:20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  <c r="T183" s="5"/>
    </row>
    <row r="184" spans="3:20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  <c r="T184" s="5"/>
    </row>
    <row r="185" spans="3:20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  <c r="T185" s="5"/>
    </row>
    <row r="186" spans="3:20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  <c r="T186" s="5"/>
    </row>
    <row r="187" spans="3:20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  <c r="T187" s="5"/>
    </row>
    <row r="188" spans="3:20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  <c r="T188" s="5"/>
    </row>
    <row r="189" spans="3:20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  <c r="T189" s="5"/>
    </row>
    <row r="190" spans="3:20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  <c r="T190" s="5"/>
    </row>
    <row r="191" spans="3:20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  <c r="T191" s="5"/>
    </row>
    <row r="192" spans="3:20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  <c r="T192" s="5"/>
    </row>
    <row r="193" spans="3:20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  <c r="T193" s="5"/>
    </row>
    <row r="194" spans="3:20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  <c r="T194" s="5"/>
    </row>
    <row r="195" spans="3:20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  <c r="T195" s="5"/>
    </row>
    <row r="196" spans="3:20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  <c r="T196" s="5"/>
    </row>
    <row r="197" spans="3:20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  <c r="T197" s="5"/>
    </row>
    <row r="198" spans="3:20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  <c r="T198" s="5"/>
    </row>
    <row r="199" spans="3:20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  <c r="T199" s="5"/>
    </row>
    <row r="200" spans="3:20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  <c r="T200" s="5"/>
    </row>
    <row r="201" spans="3:20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  <c r="T201" s="5"/>
    </row>
    <row r="202" spans="3:20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  <c r="T202" s="5"/>
    </row>
    <row r="203" spans="3:20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  <c r="T203" s="5"/>
    </row>
    <row r="204" spans="3:20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  <c r="T204" s="5"/>
    </row>
    <row r="205" spans="3:20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  <c r="T205" s="5"/>
    </row>
    <row r="206" spans="3:20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  <c r="T206" s="5"/>
    </row>
    <row r="207" spans="3:20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  <c r="T207" s="5"/>
    </row>
    <row r="208" spans="3:20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  <c r="T208" s="5"/>
    </row>
    <row r="209" spans="3:20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  <c r="T209" s="5"/>
    </row>
    <row r="210" spans="3:20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  <c r="T210" s="5"/>
    </row>
    <row r="211" spans="3:20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  <c r="T211" s="5"/>
    </row>
    <row r="212" spans="3:20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  <c r="T212" s="5"/>
    </row>
    <row r="213" spans="3:20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  <c r="T213" s="5"/>
    </row>
    <row r="214" spans="3:20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  <c r="T214" s="5"/>
    </row>
    <row r="215" spans="3:20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  <c r="T215" s="5"/>
    </row>
    <row r="216" spans="3:20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  <c r="T216" s="5"/>
    </row>
    <row r="217" spans="3:20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  <c r="T217" s="5"/>
    </row>
    <row r="218" spans="3:20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  <c r="T218" s="5"/>
    </row>
    <row r="219" spans="3:20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  <c r="T219" s="5"/>
    </row>
    <row r="220" spans="3:20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  <c r="T220" s="5"/>
    </row>
    <row r="221" spans="3:20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  <c r="T221" s="5"/>
    </row>
    <row r="222" spans="3:20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  <c r="T222" s="5"/>
    </row>
    <row r="223" spans="3:20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  <c r="T223" s="5"/>
    </row>
    <row r="224" spans="3:20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  <c r="T224" s="5"/>
    </row>
    <row r="225" spans="3:20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  <c r="T225" s="5"/>
    </row>
    <row r="226" spans="3:20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  <c r="T226" s="5"/>
    </row>
    <row r="227" spans="3:20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  <c r="T227" s="5"/>
    </row>
    <row r="228" spans="3:20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  <c r="T228" s="5"/>
    </row>
    <row r="229" spans="3:20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  <c r="T229" s="5"/>
    </row>
    <row r="230" spans="3:20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  <c r="T230" s="5"/>
    </row>
    <row r="231" spans="3:20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  <c r="T231" s="5"/>
    </row>
    <row r="232" spans="3:20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  <c r="T232" s="5"/>
    </row>
    <row r="233" spans="3:20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  <c r="T233" s="5"/>
    </row>
    <row r="234" spans="3:20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  <c r="T234" s="5"/>
    </row>
    <row r="235" spans="3:20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  <c r="T235" s="5"/>
    </row>
    <row r="236" spans="3:20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  <c r="T236" s="5"/>
    </row>
    <row r="237" spans="3:20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  <c r="T237" s="5"/>
    </row>
    <row r="238" spans="3:20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  <c r="T238" s="5"/>
    </row>
    <row r="239" spans="3:20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  <c r="T239" s="5"/>
    </row>
    <row r="240" spans="3:20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  <c r="T240" s="5"/>
    </row>
    <row r="241" spans="3:20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  <c r="T241" s="5"/>
    </row>
    <row r="242" spans="3:20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  <c r="T242" s="5"/>
    </row>
    <row r="243" spans="3:20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  <c r="T243" s="5"/>
    </row>
    <row r="244" spans="3:20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  <c r="T244" s="5"/>
    </row>
    <row r="245" spans="3:20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  <c r="T245" s="5"/>
    </row>
    <row r="246" spans="3:20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  <c r="T246" s="5"/>
    </row>
    <row r="247" spans="3:20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  <c r="T247" s="5"/>
    </row>
    <row r="248" spans="3:20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  <c r="T248" s="5"/>
    </row>
    <row r="249" spans="3:20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  <c r="T249" s="5"/>
    </row>
    <row r="250" spans="3:20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  <c r="T250" s="5"/>
    </row>
    <row r="251" spans="3:20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  <c r="T251" s="5"/>
    </row>
    <row r="252" spans="3:20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  <c r="T252" s="5"/>
    </row>
    <row r="253" spans="3:20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  <c r="T253" s="5"/>
    </row>
    <row r="254" spans="3:20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  <c r="T254" s="5"/>
    </row>
    <row r="255" spans="3:20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  <c r="T255" s="5"/>
    </row>
    <row r="256" spans="3:20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  <c r="T256" s="5"/>
    </row>
    <row r="257" spans="3:20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  <c r="T257" s="5"/>
    </row>
    <row r="258" spans="3:20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  <c r="T258" s="5"/>
    </row>
    <row r="259" spans="3:20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  <c r="T259" s="5"/>
    </row>
    <row r="260" spans="3:20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  <c r="T260" s="5"/>
    </row>
    <row r="261" spans="3:20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  <c r="T261" s="5"/>
    </row>
    <row r="262" spans="3:20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  <c r="T262" s="5"/>
    </row>
    <row r="263" spans="3:20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  <c r="T263" s="5"/>
    </row>
    <row r="264" spans="3:20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  <c r="T264" s="5"/>
    </row>
    <row r="265" spans="3:20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  <c r="T265" s="5"/>
    </row>
    <row r="266" spans="3:20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  <c r="T266" s="5"/>
    </row>
    <row r="267" spans="3:20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  <c r="T267" s="5"/>
    </row>
    <row r="268" spans="3:20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  <c r="T268" s="5"/>
    </row>
    <row r="269" spans="3:20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  <c r="T269" s="5"/>
    </row>
    <row r="270" spans="3:20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  <c r="T270" s="5"/>
    </row>
    <row r="271" spans="3:20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  <c r="T271" s="5"/>
    </row>
    <row r="272" spans="3:20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  <c r="T272" s="5"/>
    </row>
    <row r="273" spans="3:20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  <c r="T273" s="5"/>
    </row>
    <row r="274" spans="3:20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  <c r="T274" s="5"/>
    </row>
    <row r="275" spans="3:20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  <c r="T275" s="5"/>
    </row>
    <row r="276" spans="3:20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  <c r="T276" s="5"/>
    </row>
    <row r="277" spans="3:20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  <c r="T277" s="5"/>
    </row>
    <row r="278" spans="3:20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  <c r="T278" s="5"/>
    </row>
    <row r="279" spans="3:20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  <c r="T279" s="5"/>
    </row>
    <row r="280" spans="3:20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  <c r="T280" s="5"/>
    </row>
    <row r="281" spans="3:20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  <c r="T281" s="5"/>
    </row>
    <row r="282" spans="3:20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  <c r="T282" s="5"/>
    </row>
    <row r="283" spans="3:20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  <c r="T283" s="5"/>
    </row>
    <row r="284" spans="3:20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  <c r="T284" s="5"/>
    </row>
    <row r="285" spans="3:20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  <c r="T285" s="5"/>
    </row>
    <row r="286" spans="3:20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  <c r="T286" s="5"/>
    </row>
    <row r="287" spans="3:20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  <c r="T287" s="5"/>
    </row>
    <row r="288" spans="3:20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  <c r="T288" s="5"/>
    </row>
    <row r="289" spans="3:20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  <c r="T289" s="5"/>
    </row>
    <row r="290" spans="3:20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  <c r="T290" s="5"/>
    </row>
    <row r="291" spans="3:20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  <c r="T291" s="5"/>
    </row>
    <row r="292" spans="3:20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  <c r="T292" s="5"/>
    </row>
    <row r="293" spans="3:20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  <c r="T293" s="5"/>
    </row>
    <row r="294" spans="3:20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  <c r="T294" s="5"/>
    </row>
    <row r="295" spans="3:20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  <c r="T295" s="5"/>
    </row>
    <row r="296" spans="3:20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  <c r="T296" s="5"/>
    </row>
    <row r="297" spans="3:20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  <c r="T297" s="5"/>
    </row>
    <row r="298" spans="3:20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  <c r="T298" s="5"/>
    </row>
    <row r="299" spans="3:20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  <c r="T299" s="5"/>
    </row>
    <row r="300" spans="3:20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  <c r="T300" s="5"/>
    </row>
    <row r="301" spans="3:20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  <c r="T301" s="5"/>
    </row>
    <row r="302" spans="3:20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  <c r="T302" s="5"/>
    </row>
    <row r="303" spans="3:20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  <c r="T303" s="5"/>
    </row>
    <row r="304" spans="3:20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  <c r="T304" s="5"/>
    </row>
    <row r="305" spans="3:20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  <c r="T305" s="5"/>
    </row>
    <row r="306" spans="3:20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  <c r="T306" s="5"/>
    </row>
    <row r="307" spans="3:20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  <c r="T307" s="5"/>
    </row>
    <row r="308" spans="3:20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  <c r="T308" s="5"/>
    </row>
    <row r="309" spans="3:20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  <c r="T309" s="5"/>
    </row>
    <row r="310" spans="3:20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  <c r="T310" s="5"/>
    </row>
    <row r="311" spans="3:20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  <c r="T311" s="5"/>
    </row>
    <row r="312" spans="3:20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  <c r="T312" s="5"/>
    </row>
    <row r="313" spans="3:20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  <c r="T313" s="5"/>
    </row>
    <row r="314" spans="3:20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  <c r="T314" s="5"/>
    </row>
    <row r="315" spans="3:20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  <c r="T315" s="5"/>
    </row>
    <row r="316" spans="3:20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  <c r="T316" s="5"/>
    </row>
    <row r="317" spans="3:20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  <c r="T317" s="5"/>
    </row>
    <row r="318" spans="3:20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  <c r="T318" s="5"/>
    </row>
    <row r="319" spans="3:20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  <c r="T319" s="5"/>
    </row>
    <row r="320" spans="3:20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  <c r="T320" s="5"/>
    </row>
    <row r="321" spans="3:20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  <c r="T321" s="5"/>
    </row>
    <row r="322" spans="3:20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  <c r="T322" s="5"/>
    </row>
    <row r="323" spans="3:20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  <c r="T323" s="5"/>
    </row>
    <row r="324" spans="3:20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  <c r="T324" s="5"/>
    </row>
    <row r="325" spans="3:20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  <c r="T325" s="5"/>
    </row>
    <row r="326" spans="3:20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  <c r="T326" s="5"/>
    </row>
    <row r="327" spans="3:20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  <c r="T327" s="5"/>
    </row>
    <row r="328" spans="3:20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  <c r="T328" s="5"/>
    </row>
    <row r="329" spans="3:20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  <c r="T329" s="5"/>
    </row>
    <row r="330" spans="3:20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  <c r="T330" s="5"/>
    </row>
    <row r="331" spans="3:20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  <c r="T331" s="5"/>
    </row>
    <row r="332" spans="3:20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  <c r="T332" s="5"/>
    </row>
    <row r="333" spans="3:20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  <c r="T333" s="5"/>
    </row>
    <row r="334" spans="3:20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  <c r="T334" s="5"/>
    </row>
    <row r="335" spans="3:20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  <c r="T335" s="5"/>
    </row>
    <row r="336" spans="3:20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  <c r="T336" s="5"/>
    </row>
    <row r="337" spans="3:20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  <c r="T337" s="5"/>
    </row>
    <row r="338" spans="3:20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  <c r="T338" s="5"/>
    </row>
    <row r="339" spans="3:20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  <c r="T339" s="5"/>
    </row>
    <row r="340" spans="3:20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  <c r="T340" s="5"/>
    </row>
    <row r="341" spans="3:20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  <c r="T341" s="5"/>
    </row>
    <row r="342" spans="3:20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  <c r="T342" s="5"/>
    </row>
    <row r="343" spans="3:20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  <c r="T343" s="5"/>
    </row>
    <row r="344" spans="3:20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  <c r="T344" s="5"/>
    </row>
    <row r="345" spans="3:20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  <c r="T345" s="5"/>
    </row>
    <row r="346" spans="3:20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  <c r="T346" s="5"/>
    </row>
    <row r="347" spans="3:20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  <c r="T347" s="5"/>
    </row>
    <row r="348" spans="3:20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  <c r="T348" s="5"/>
    </row>
    <row r="349" spans="3:20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  <c r="T349" s="5"/>
    </row>
    <row r="350" spans="3:20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  <c r="T350" s="5"/>
    </row>
    <row r="351" spans="3:20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  <c r="T351" s="5"/>
    </row>
    <row r="352" spans="3:20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  <c r="T352" s="5"/>
    </row>
    <row r="353" spans="3:20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  <c r="T353" s="5"/>
    </row>
    <row r="354" spans="3:20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  <c r="T354" s="5"/>
    </row>
    <row r="355" spans="3:20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  <c r="T355" s="5"/>
    </row>
    <row r="356" spans="3:20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  <c r="T356" s="5"/>
    </row>
    <row r="357" spans="3:20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  <c r="T357" s="5"/>
    </row>
    <row r="358" spans="3:20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  <c r="T358" s="5"/>
    </row>
    <row r="359" spans="3:20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  <c r="T359" s="5"/>
    </row>
    <row r="360" spans="3:20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  <c r="T360" s="5"/>
    </row>
    <row r="361" spans="3:20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  <c r="T361" s="5"/>
    </row>
    <row r="362" spans="3:20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  <c r="T362" s="5"/>
    </row>
    <row r="363" spans="3:20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  <c r="T363" s="5"/>
    </row>
    <row r="364" spans="3:20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  <c r="T364" s="5"/>
    </row>
    <row r="365" spans="3:20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  <c r="T365" s="5"/>
    </row>
    <row r="366" spans="3:20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  <c r="T366" s="5"/>
    </row>
    <row r="367" spans="3:20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  <c r="T367" s="5"/>
    </row>
    <row r="368" spans="3:20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  <c r="T368" s="5"/>
    </row>
    <row r="369" spans="3:20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  <c r="T369" s="5"/>
    </row>
    <row r="370" spans="3:20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  <c r="T370" s="5"/>
    </row>
    <row r="371" spans="3:20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  <c r="T371" s="5"/>
    </row>
    <row r="372" spans="3:20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  <c r="T372" s="5"/>
    </row>
    <row r="373" spans="3:20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  <c r="T373" s="5"/>
    </row>
    <row r="374" spans="3:20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  <c r="T374" s="5"/>
    </row>
    <row r="375" spans="3:20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  <c r="T375" s="5"/>
    </row>
    <row r="376" spans="3:20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  <c r="T376" s="5"/>
    </row>
    <row r="377" spans="3:20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  <c r="T377" s="5"/>
    </row>
    <row r="378" spans="3:20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  <c r="T378" s="5"/>
    </row>
    <row r="379" spans="3:20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  <c r="T379" s="5"/>
    </row>
    <row r="380" spans="3:20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  <c r="T380" s="5"/>
    </row>
    <row r="381" spans="3:20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  <c r="T381" s="5"/>
    </row>
    <row r="382" spans="3:20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  <c r="T382" s="5"/>
    </row>
    <row r="383" spans="3:20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  <c r="T383" s="5"/>
    </row>
    <row r="384" spans="3:20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  <c r="T384" s="5"/>
    </row>
    <row r="385" spans="3:20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  <c r="T385" s="5"/>
    </row>
    <row r="386" spans="3:20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  <c r="T386" s="5"/>
    </row>
    <row r="387" spans="3:20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  <c r="T387" s="5"/>
    </row>
    <row r="388" spans="3:20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  <c r="T388" s="5"/>
    </row>
    <row r="389" spans="3:20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  <c r="T389" s="5"/>
    </row>
    <row r="390" spans="3:20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  <c r="T390" s="5"/>
    </row>
    <row r="391" spans="3:20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  <c r="T391" s="5"/>
    </row>
    <row r="392" spans="3:20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  <c r="T392" s="5"/>
    </row>
    <row r="393" spans="3:20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  <c r="T393" s="5"/>
    </row>
    <row r="394" spans="3:20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  <c r="T394" s="5"/>
    </row>
    <row r="395" spans="3:20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  <c r="T395" s="5"/>
    </row>
    <row r="396" spans="3:20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  <c r="T396" s="5"/>
    </row>
    <row r="397" spans="3:20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  <c r="T397" s="5"/>
    </row>
    <row r="398" spans="3:20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  <c r="T398" s="5"/>
    </row>
    <row r="399" spans="3:20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  <c r="T399" s="5"/>
    </row>
    <row r="400" spans="3:20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  <c r="T400" s="5"/>
    </row>
    <row r="401" spans="3:20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  <c r="T401" s="5"/>
    </row>
    <row r="402" spans="3:20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  <c r="T402" s="5"/>
    </row>
    <row r="403" spans="3:20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  <c r="T403" s="5"/>
    </row>
    <row r="404" spans="3:20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  <c r="T404" s="5"/>
    </row>
    <row r="405" spans="3:20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  <c r="T405" s="5"/>
    </row>
    <row r="406" spans="3:20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  <c r="T406" s="5"/>
    </row>
    <row r="407" spans="3:20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  <c r="T407" s="5"/>
    </row>
    <row r="408" spans="3:20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  <c r="T408" s="5"/>
    </row>
    <row r="409" spans="3:20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  <c r="T409" s="5"/>
    </row>
    <row r="410" spans="3:20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  <c r="T410" s="5"/>
    </row>
    <row r="411" spans="3:20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  <c r="T411" s="5"/>
    </row>
    <row r="412" spans="3:20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  <c r="T412" s="5"/>
    </row>
    <row r="413" spans="3:20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  <c r="T413" s="5"/>
    </row>
    <row r="414" spans="3:20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  <c r="T414" s="5"/>
    </row>
    <row r="415" spans="3:20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  <c r="T415" s="5"/>
    </row>
    <row r="416" spans="3:20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  <c r="T416" s="5"/>
    </row>
    <row r="417" spans="3:20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  <c r="T417" s="5"/>
    </row>
    <row r="418" spans="3:20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  <c r="T418" s="5"/>
    </row>
    <row r="419" spans="3:20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  <c r="T419" s="5"/>
    </row>
    <row r="420" spans="3:20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  <c r="T420" s="5"/>
    </row>
    <row r="421" spans="3:20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  <c r="T421" s="5"/>
    </row>
    <row r="422" spans="3:20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  <c r="T422" s="5"/>
    </row>
    <row r="423" spans="3:20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  <c r="T423" s="5"/>
    </row>
    <row r="424" spans="3:20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  <c r="T424" s="5"/>
    </row>
    <row r="425" spans="3:20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  <c r="T425" s="5"/>
    </row>
    <row r="426" spans="3:20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  <c r="T426" s="5"/>
    </row>
    <row r="427" spans="3:20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  <c r="T427" s="5"/>
    </row>
    <row r="428" spans="3:20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  <c r="T428" s="5"/>
    </row>
    <row r="429" spans="3:20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  <c r="T429" s="5"/>
    </row>
    <row r="430" spans="3:20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  <c r="T430" s="5"/>
    </row>
    <row r="431" spans="3:20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  <c r="T431" s="5"/>
    </row>
    <row r="432" spans="3:20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  <c r="T432" s="5"/>
    </row>
    <row r="433" spans="3:20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  <c r="T433" s="5"/>
    </row>
    <row r="434" spans="3:20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  <c r="T434" s="5"/>
    </row>
    <row r="435" spans="3:20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  <c r="T435" s="5"/>
    </row>
    <row r="436" spans="3:20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  <c r="T436" s="5"/>
    </row>
    <row r="437" spans="3:20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  <c r="T437" s="5"/>
    </row>
    <row r="438" spans="3:20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  <c r="T438" s="5"/>
    </row>
    <row r="439" spans="3:20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  <c r="T439" s="5"/>
    </row>
    <row r="440" spans="3:20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  <c r="T440" s="5"/>
    </row>
    <row r="441" spans="3:20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  <c r="T441" s="5"/>
    </row>
    <row r="442" spans="3:20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  <c r="T442" s="5"/>
    </row>
    <row r="443" spans="3:20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  <c r="T443" s="5"/>
    </row>
    <row r="444" spans="3:20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  <c r="T444" s="5"/>
    </row>
    <row r="445" spans="3:20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  <c r="T445" s="5"/>
    </row>
    <row r="446" spans="3:20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  <c r="T446" s="5"/>
    </row>
    <row r="447" spans="3:20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  <c r="T447" s="5"/>
    </row>
    <row r="448" spans="3:20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  <c r="T448" s="5"/>
    </row>
    <row r="449" spans="3:20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  <c r="T449" s="5"/>
    </row>
    <row r="450" spans="3:20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  <c r="T450" s="5"/>
    </row>
    <row r="451" spans="3:20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  <c r="T451" s="5"/>
    </row>
    <row r="452" spans="3:20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  <c r="T452" s="5"/>
    </row>
    <row r="453" spans="3:20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  <c r="T453" s="5"/>
    </row>
    <row r="454" spans="3:20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  <c r="T454" s="5"/>
    </row>
    <row r="455" spans="3:20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  <c r="T455" s="5"/>
    </row>
    <row r="456" spans="3:20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  <c r="T456" s="5"/>
    </row>
    <row r="457" spans="3:20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  <c r="T457" s="5"/>
    </row>
    <row r="458" spans="3:20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  <c r="T458" s="5"/>
    </row>
    <row r="459" spans="3:20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  <c r="T459" s="5"/>
    </row>
    <row r="460" spans="3:20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  <c r="T460" s="5"/>
    </row>
    <row r="461" spans="3:20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  <c r="T461" s="5"/>
    </row>
    <row r="462" spans="3:20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  <c r="T462" s="5"/>
    </row>
    <row r="463" spans="3:20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  <c r="T463" s="5"/>
    </row>
    <row r="464" spans="3:20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  <c r="T464" s="5"/>
    </row>
    <row r="465" spans="3:20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  <c r="T465" s="5"/>
    </row>
    <row r="466" spans="3:20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  <c r="T466" s="5"/>
    </row>
    <row r="467" spans="3:20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  <c r="T467" s="5"/>
    </row>
    <row r="468" spans="3:20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  <c r="T468" s="5"/>
    </row>
    <row r="469" spans="3:20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  <c r="T469" s="5"/>
    </row>
    <row r="470" spans="3:20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  <c r="T470" s="5"/>
    </row>
    <row r="471" spans="3:20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  <c r="T471" s="5"/>
    </row>
    <row r="472" spans="3:20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  <c r="T472" s="5"/>
    </row>
    <row r="473" spans="3:20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  <c r="T473" s="5"/>
    </row>
    <row r="474" spans="3:20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  <c r="T474" s="5"/>
    </row>
    <row r="475" spans="3:20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  <c r="T475" s="5"/>
    </row>
    <row r="476" spans="3:20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  <c r="T476" s="5"/>
    </row>
    <row r="477" spans="3:20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  <c r="T477" s="5"/>
    </row>
    <row r="478" spans="3:20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  <c r="T478" s="5"/>
    </row>
    <row r="479" spans="3:20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  <c r="T479" s="5"/>
    </row>
    <row r="480" spans="3:20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  <c r="T480" s="5"/>
    </row>
    <row r="481" spans="3:20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  <c r="T481" s="5"/>
    </row>
    <row r="482" spans="3:20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  <c r="T482" s="5"/>
    </row>
    <row r="483" spans="3:20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  <c r="T483" s="5"/>
    </row>
    <row r="484" spans="3:20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  <c r="T484" s="5"/>
    </row>
    <row r="485" spans="3:20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  <c r="T485" s="5"/>
    </row>
    <row r="486" spans="3:20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  <c r="T486" s="5"/>
    </row>
    <row r="487" spans="3:20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  <c r="T487" s="5"/>
    </row>
    <row r="488" spans="3:20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  <c r="T488" s="5"/>
    </row>
    <row r="489" spans="3:20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  <c r="T489" s="5"/>
    </row>
    <row r="490" spans="3:20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  <c r="T490" s="5"/>
    </row>
    <row r="491" spans="3:20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  <c r="T491" s="5"/>
    </row>
    <row r="492" spans="3:20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  <c r="T492" s="5"/>
    </row>
    <row r="493" spans="3:20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  <c r="T493" s="5"/>
    </row>
    <row r="494" spans="3:20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  <c r="T494" s="5"/>
    </row>
    <row r="495" spans="3:20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  <c r="T495" s="5"/>
    </row>
    <row r="496" spans="3:20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  <c r="T496" s="5"/>
    </row>
    <row r="497" spans="3:20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  <c r="T497" s="5"/>
    </row>
    <row r="498" spans="3:20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  <c r="T498" s="5"/>
    </row>
    <row r="499" spans="3:20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  <c r="T499" s="5"/>
    </row>
    <row r="500" spans="3:20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  <c r="T500" s="5"/>
    </row>
    <row r="501" spans="3:20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  <c r="T501" s="5"/>
    </row>
    <row r="502" spans="3:20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  <c r="T502" s="5"/>
    </row>
    <row r="503" spans="3:20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  <c r="T503" s="5"/>
    </row>
    <row r="504" spans="3:20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  <c r="T504" s="5"/>
    </row>
    <row r="505" spans="3:20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  <c r="T505" s="5"/>
    </row>
    <row r="506" spans="3:20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  <c r="T506" s="5"/>
    </row>
    <row r="507" spans="3:20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  <c r="T507" s="5"/>
    </row>
    <row r="508" spans="3:20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  <c r="T508" s="5"/>
    </row>
    <row r="509" spans="3:20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  <c r="T509" s="5"/>
    </row>
    <row r="510" spans="3:20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  <c r="T510" s="5"/>
    </row>
    <row r="511" spans="3:20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  <c r="T511" s="5"/>
    </row>
    <row r="512" spans="3:20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  <c r="T512" s="5"/>
    </row>
    <row r="513" spans="3:20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  <c r="T513" s="5"/>
    </row>
    <row r="514" spans="3:20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  <c r="T514" s="5"/>
    </row>
    <row r="515" spans="3:20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  <c r="T515" s="5"/>
    </row>
    <row r="516" spans="3:20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  <c r="T516" s="5"/>
    </row>
    <row r="517" spans="3:20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  <c r="T517" s="5"/>
    </row>
    <row r="518" spans="3:20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  <c r="T518" s="5"/>
    </row>
    <row r="519" spans="3:20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  <c r="T519" s="5"/>
    </row>
    <row r="520" spans="3:20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  <c r="T520" s="5"/>
    </row>
    <row r="521" spans="3:20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  <c r="T521" s="5"/>
    </row>
    <row r="522" spans="3:20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  <c r="T522" s="5"/>
    </row>
    <row r="523" spans="3:20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  <c r="T523" s="5"/>
    </row>
    <row r="524" spans="3:20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  <c r="T524" s="5"/>
    </row>
    <row r="525" spans="3:20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  <c r="T525" s="5"/>
    </row>
    <row r="526" spans="3:20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  <c r="T526" s="5"/>
    </row>
    <row r="527" spans="3:20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  <c r="T527" s="5"/>
    </row>
    <row r="528" spans="3:20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  <c r="T528" s="5"/>
    </row>
    <row r="529" spans="3:20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  <c r="T529" s="5"/>
    </row>
    <row r="530" spans="3:20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  <c r="T530" s="5"/>
    </row>
    <row r="531" spans="3:20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  <c r="T531" s="5"/>
    </row>
    <row r="532" spans="3:20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  <c r="T532" s="5"/>
    </row>
    <row r="533" spans="3:20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  <c r="T533" s="5"/>
    </row>
    <row r="534" spans="3:20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  <c r="T534" s="5"/>
    </row>
    <row r="535" spans="3:20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  <c r="T535" s="5"/>
    </row>
    <row r="536" spans="3:20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  <c r="T536" s="5"/>
    </row>
    <row r="537" spans="3:20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  <c r="T537" s="5"/>
    </row>
    <row r="538" spans="3:20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  <c r="T538" s="5"/>
    </row>
    <row r="539" spans="3:20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  <c r="T539" s="5"/>
    </row>
    <row r="540" spans="3:20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  <c r="T540" s="5"/>
    </row>
    <row r="541" spans="3:20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  <c r="T541" s="5"/>
    </row>
    <row r="542" spans="3:20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  <c r="T542" s="5"/>
    </row>
    <row r="543" spans="3:20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  <c r="T543" s="5"/>
    </row>
    <row r="544" spans="3:20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  <c r="T544" s="5"/>
    </row>
    <row r="545" spans="3:20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  <c r="T545" s="5"/>
    </row>
    <row r="546" spans="3:20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  <c r="T546" s="5"/>
    </row>
    <row r="547" spans="3:20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  <c r="T547" s="5"/>
    </row>
    <row r="548" spans="3:20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  <c r="T548" s="5"/>
    </row>
    <row r="549" spans="3:20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  <c r="T549" s="5"/>
    </row>
    <row r="550" spans="3:20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  <c r="T550" s="5"/>
    </row>
    <row r="551" spans="3:20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  <c r="T551" s="5"/>
    </row>
    <row r="552" spans="3:20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  <c r="T552" s="5"/>
    </row>
    <row r="553" spans="3:20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  <c r="T553" s="5"/>
    </row>
    <row r="554" spans="3:20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  <c r="T554" s="5"/>
    </row>
    <row r="555" spans="3:20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  <c r="T555" s="5"/>
    </row>
    <row r="556" spans="3:20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  <c r="T556" s="5"/>
    </row>
    <row r="557" spans="3:20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  <c r="T557" s="5"/>
    </row>
    <row r="558" spans="3:20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  <c r="T558" s="5"/>
    </row>
    <row r="559" spans="3:20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  <c r="T559" s="5"/>
    </row>
    <row r="560" spans="3:20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  <c r="T560" s="5"/>
    </row>
    <row r="561" spans="3:20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  <c r="T561" s="5"/>
    </row>
    <row r="562" spans="3:20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  <c r="T562" s="5"/>
    </row>
    <row r="563" spans="3:20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  <c r="T563" s="5"/>
    </row>
    <row r="564" spans="3:20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  <c r="T564" s="5"/>
    </row>
    <row r="565" spans="3:20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  <c r="T565" s="5"/>
    </row>
    <row r="566" spans="3:20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  <c r="T566" s="5"/>
    </row>
    <row r="567" spans="3:20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  <c r="T567" s="5"/>
    </row>
    <row r="568" spans="3:20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  <c r="T568" s="5"/>
    </row>
    <row r="569" spans="3:20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  <c r="T569" s="5"/>
    </row>
    <row r="570" spans="3:20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  <c r="T570" s="5"/>
    </row>
    <row r="571" spans="3:20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  <c r="T571" s="5"/>
    </row>
    <row r="572" spans="3:20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  <c r="T572" s="5"/>
    </row>
    <row r="573" spans="3:20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  <c r="T573" s="5"/>
    </row>
    <row r="574" spans="3:20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  <c r="T574" s="5"/>
    </row>
    <row r="575" spans="3:20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  <c r="T575" s="5"/>
    </row>
    <row r="576" spans="3:20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  <c r="T576" s="5"/>
    </row>
    <row r="577" spans="3:20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  <c r="T577" s="5"/>
    </row>
    <row r="578" spans="3:20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  <c r="T578" s="5"/>
    </row>
    <row r="579" spans="3:20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  <c r="T579" s="5"/>
    </row>
    <row r="580" spans="3:20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  <c r="T580" s="5"/>
    </row>
    <row r="581" spans="3:20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  <c r="T581" s="5"/>
    </row>
    <row r="582" spans="3:20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  <c r="T582" s="5"/>
    </row>
    <row r="583" spans="3:20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  <c r="T583" s="5"/>
    </row>
    <row r="584" spans="3:20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  <c r="T584" s="5"/>
    </row>
    <row r="585" spans="3:20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  <c r="T585" s="5"/>
    </row>
    <row r="586" spans="3:20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  <c r="T586" s="5"/>
    </row>
    <row r="587" spans="3:20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  <c r="T587" s="5"/>
    </row>
    <row r="588" spans="3:20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  <c r="T588" s="5"/>
    </row>
    <row r="589" spans="3:20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  <c r="T589" s="5"/>
    </row>
    <row r="590" spans="3:20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  <c r="T590" s="5"/>
    </row>
    <row r="591" spans="3:20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  <c r="T591" s="5"/>
    </row>
    <row r="592" spans="3:20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  <c r="T592" s="5"/>
    </row>
    <row r="593" spans="3:20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  <c r="T593" s="5"/>
    </row>
    <row r="594" spans="3:20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  <c r="T594" s="5"/>
    </row>
    <row r="595" spans="3:20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  <c r="T595" s="5"/>
    </row>
    <row r="596" spans="3:20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  <c r="T596" s="5"/>
    </row>
    <row r="597" spans="3:20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  <c r="T597" s="5"/>
    </row>
    <row r="598" spans="3:20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  <c r="T598" s="5"/>
    </row>
    <row r="599" spans="3:20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  <c r="T599" s="5"/>
    </row>
    <row r="600" spans="3:20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  <c r="T600" s="5"/>
    </row>
    <row r="601" spans="3:20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  <c r="T601" s="5"/>
    </row>
    <row r="602" spans="3:20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  <c r="T602" s="5"/>
    </row>
    <row r="603" spans="3:20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  <c r="T603" s="5"/>
    </row>
    <row r="604" spans="3:20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  <c r="T604" s="5"/>
    </row>
    <row r="605" spans="3:20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  <c r="T605" s="5"/>
    </row>
    <row r="606" spans="3:20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  <c r="T606" s="5"/>
    </row>
    <row r="607" spans="3:20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  <c r="T607" s="5"/>
    </row>
    <row r="608" spans="3:20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  <c r="T608" s="5"/>
    </row>
    <row r="609" spans="3:20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  <c r="T609" s="5"/>
    </row>
    <row r="610" spans="3:20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  <c r="T610" s="5"/>
    </row>
    <row r="611" spans="3:20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  <c r="T611" s="5"/>
    </row>
    <row r="612" spans="3:20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  <c r="T612" s="5"/>
    </row>
    <row r="613" spans="3:20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  <c r="T613" s="5"/>
    </row>
    <row r="614" spans="3:20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  <c r="T614" s="5"/>
    </row>
    <row r="615" spans="3:20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  <c r="T615" s="5"/>
    </row>
    <row r="616" spans="3:20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  <c r="T616" s="5"/>
    </row>
    <row r="617" spans="3:20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  <c r="T617" s="5"/>
    </row>
    <row r="618" spans="3:20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  <c r="T618" s="5"/>
    </row>
    <row r="619" spans="3:20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  <c r="T619" s="5"/>
    </row>
    <row r="620" spans="3:20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  <c r="T620" s="5"/>
    </row>
    <row r="621" spans="3:20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  <c r="T621" s="5"/>
    </row>
    <row r="622" spans="3:20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  <c r="T622" s="5"/>
    </row>
    <row r="623" spans="3:20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  <c r="T623" s="5"/>
    </row>
    <row r="624" spans="3:20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  <c r="T624" s="5"/>
    </row>
    <row r="625" spans="3:20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  <c r="T625" s="5"/>
    </row>
    <row r="626" spans="3:20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  <c r="T626" s="5"/>
    </row>
    <row r="627" spans="3:20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  <c r="T627" s="5"/>
    </row>
    <row r="628" spans="3:20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  <c r="T628" s="5"/>
    </row>
    <row r="629" spans="3:20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  <c r="T629" s="5"/>
    </row>
    <row r="630" spans="3:20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  <c r="T630" s="5"/>
    </row>
    <row r="631" spans="3:20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  <c r="T631" s="5"/>
    </row>
    <row r="632" spans="3:20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  <c r="T632" s="5"/>
    </row>
    <row r="633" spans="3:20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  <c r="T633" s="5"/>
    </row>
    <row r="634" spans="3:20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  <c r="T634" s="5"/>
    </row>
    <row r="635" spans="3:20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  <c r="T635" s="5"/>
    </row>
    <row r="636" spans="3:20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  <c r="T636" s="5"/>
    </row>
    <row r="637" spans="3:20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  <c r="T637" s="5"/>
    </row>
    <row r="638" spans="3:20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  <c r="T638" s="5"/>
    </row>
    <row r="639" spans="3:20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  <c r="T639" s="5"/>
    </row>
    <row r="640" spans="3:20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  <c r="T640" s="5"/>
    </row>
    <row r="641" spans="3:20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  <c r="T641" s="5"/>
    </row>
    <row r="642" spans="3:20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  <c r="T642" s="5"/>
    </row>
    <row r="643" spans="3:20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  <c r="T643" s="5"/>
    </row>
    <row r="644" spans="3:20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  <c r="T644" s="5"/>
    </row>
    <row r="645" spans="3:20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  <c r="T645" s="5"/>
    </row>
    <row r="646" spans="3:20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  <c r="T646" s="5"/>
    </row>
    <row r="647" spans="3:20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  <c r="T647" s="5"/>
    </row>
    <row r="648" spans="3:20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  <c r="T648" s="5"/>
    </row>
    <row r="649" spans="3:20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  <c r="T649" s="5"/>
    </row>
    <row r="650" spans="3:20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  <c r="T650" s="5"/>
    </row>
    <row r="651" spans="3:20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  <c r="T651" s="5"/>
    </row>
    <row r="652" spans="3:20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  <c r="T652" s="5"/>
    </row>
    <row r="653" spans="3:20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  <c r="T653" s="5"/>
    </row>
    <row r="654" spans="3:20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  <c r="T654" s="5"/>
    </row>
    <row r="655" spans="3:20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  <c r="T655" s="5"/>
    </row>
    <row r="656" spans="3:20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  <c r="T656" s="5"/>
    </row>
    <row r="657" spans="3:20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  <c r="T657" s="5"/>
    </row>
    <row r="658" spans="3:20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  <c r="T658" s="5"/>
    </row>
    <row r="659" spans="3:20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  <c r="T659" s="5"/>
    </row>
    <row r="660" spans="3:20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  <c r="T660" s="5"/>
    </row>
    <row r="661" spans="3:20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  <c r="T661" s="5"/>
    </row>
    <row r="662" spans="3:20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  <c r="T662" s="5"/>
    </row>
    <row r="663" spans="3:20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  <c r="T663" s="5"/>
    </row>
    <row r="664" spans="3:20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  <c r="T664" s="5"/>
    </row>
    <row r="665" spans="3:20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  <c r="T665" s="5"/>
    </row>
    <row r="666" spans="3:20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  <c r="T666" s="5"/>
    </row>
    <row r="667" spans="3:20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  <c r="T667" s="5"/>
    </row>
    <row r="668" spans="3:20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  <c r="T668" s="5"/>
    </row>
    <row r="669" spans="3:20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  <c r="T669" s="5"/>
    </row>
    <row r="670" spans="3:20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  <c r="T670" s="5"/>
    </row>
    <row r="671" spans="3:20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  <c r="T671" s="5"/>
    </row>
    <row r="672" spans="3:20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  <c r="T672" s="5"/>
    </row>
    <row r="673" spans="3:20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  <c r="T673" s="5"/>
    </row>
    <row r="674" spans="3:20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  <c r="T674" s="5"/>
    </row>
    <row r="675" spans="3:20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  <c r="T675" s="5"/>
    </row>
    <row r="676" spans="3:20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  <c r="T676" s="5"/>
    </row>
    <row r="677" spans="3:20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  <c r="T677" s="5"/>
    </row>
    <row r="678" spans="3:20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  <c r="T678" s="5"/>
    </row>
    <row r="679" spans="3:20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  <c r="T679" s="5"/>
    </row>
    <row r="680" spans="3:20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  <c r="T680" s="5"/>
    </row>
    <row r="681" spans="3:20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  <c r="T681" s="5"/>
    </row>
    <row r="682" spans="3:20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  <c r="T682" s="5"/>
    </row>
    <row r="683" spans="3:20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  <c r="T683" s="5"/>
    </row>
    <row r="684" spans="3:20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  <c r="T684" s="5"/>
    </row>
    <row r="685" spans="3:20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  <c r="T685" s="5"/>
    </row>
    <row r="686" spans="3:20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  <c r="T686" s="5"/>
    </row>
    <row r="687" spans="3:20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  <c r="T687" s="5"/>
    </row>
    <row r="688" spans="3:20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  <c r="T688" s="5"/>
    </row>
    <row r="689" spans="3:20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  <c r="T689" s="5"/>
    </row>
    <row r="690" spans="3:20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  <c r="T690" s="5"/>
    </row>
    <row r="691" spans="3:20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  <c r="T691" s="5"/>
    </row>
    <row r="692" spans="3:20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  <c r="T692" s="5"/>
    </row>
    <row r="693" spans="3:20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  <c r="T693" s="5"/>
    </row>
    <row r="694" spans="3:20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  <c r="T694" s="5"/>
    </row>
    <row r="695" spans="3:20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  <c r="T695" s="5"/>
    </row>
    <row r="696" spans="3:20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  <c r="T696" s="5"/>
    </row>
    <row r="697" spans="3:20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  <c r="T697" s="5"/>
    </row>
    <row r="698" spans="3:20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  <c r="T698" s="5"/>
    </row>
    <row r="699" spans="3:20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  <c r="T699" s="5"/>
    </row>
    <row r="700" spans="3:20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  <c r="T700" s="5"/>
    </row>
    <row r="701" spans="3:20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  <c r="T701" s="5"/>
    </row>
    <row r="702" spans="3:20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  <c r="T702" s="5"/>
    </row>
    <row r="703" spans="3:20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  <c r="T703" s="5"/>
    </row>
    <row r="704" spans="3:20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  <c r="T704" s="5"/>
    </row>
    <row r="705" spans="3:20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  <c r="T705" s="5"/>
    </row>
    <row r="706" spans="3:20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  <c r="T706" s="5"/>
    </row>
    <row r="707" spans="3:20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  <c r="T707" s="5"/>
    </row>
    <row r="708" spans="3:20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  <c r="T708" s="5"/>
    </row>
    <row r="709" spans="3:20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  <c r="T709" s="5"/>
    </row>
    <row r="710" spans="3:20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  <c r="T710" s="5"/>
    </row>
    <row r="711" spans="3:20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  <c r="T711" s="5"/>
    </row>
    <row r="712" spans="3:20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  <c r="T712" s="5"/>
    </row>
    <row r="713" spans="3:20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  <c r="T713" s="5"/>
    </row>
    <row r="714" spans="3:20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  <c r="T714" s="5"/>
    </row>
    <row r="715" spans="3:20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  <c r="T715" s="5"/>
    </row>
    <row r="716" spans="3:20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  <c r="T716" s="5"/>
    </row>
    <row r="717" spans="3:20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  <c r="T717" s="5"/>
    </row>
    <row r="718" spans="3:20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  <c r="T718" s="5"/>
    </row>
    <row r="719" spans="3:20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  <c r="T719" s="5"/>
    </row>
    <row r="720" spans="3:20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  <c r="T720" s="5"/>
    </row>
    <row r="721" spans="3:20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  <c r="T721" s="5"/>
    </row>
    <row r="722" spans="3:20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  <c r="T722" s="5"/>
    </row>
    <row r="723" spans="3:20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  <c r="T723" s="5"/>
    </row>
    <row r="724" spans="3:20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  <c r="T724" s="5"/>
    </row>
    <row r="725" spans="3:20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  <c r="T725" s="5"/>
    </row>
    <row r="726" spans="3:20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  <c r="T726" s="5"/>
    </row>
    <row r="727" spans="3:20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  <c r="T727" s="5"/>
    </row>
    <row r="728" spans="3:20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  <c r="T728" s="5"/>
    </row>
    <row r="729" spans="3:20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  <c r="T729" s="5"/>
    </row>
    <row r="730" spans="3:20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  <c r="T730" s="5"/>
    </row>
    <row r="731" spans="3:20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  <c r="T731" s="5"/>
    </row>
    <row r="732" spans="3:20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  <c r="T732" s="5"/>
    </row>
    <row r="733" spans="3:20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  <c r="T733" s="5"/>
    </row>
    <row r="734" spans="3:20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  <c r="T734" s="5"/>
    </row>
    <row r="735" spans="3:20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  <c r="T735" s="5"/>
    </row>
    <row r="736" spans="3:20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  <c r="T736" s="5"/>
    </row>
    <row r="737" spans="3:20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  <c r="T737" s="5"/>
    </row>
    <row r="738" spans="3:20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  <c r="T738" s="5"/>
    </row>
    <row r="739" spans="3:20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  <c r="T739" s="5"/>
    </row>
    <row r="740" spans="3:20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  <c r="T740" s="5"/>
    </row>
    <row r="741" spans="3:20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  <c r="T741" s="5"/>
    </row>
    <row r="742" spans="3:20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  <c r="T742" s="5"/>
    </row>
    <row r="743" spans="3:20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  <c r="T743" s="5"/>
    </row>
    <row r="744" spans="3:20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  <c r="T744" s="5"/>
    </row>
    <row r="745" spans="3:20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  <c r="T745" s="5"/>
    </row>
    <row r="746" spans="3:20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  <c r="T746" s="5"/>
    </row>
    <row r="747" spans="3:20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  <c r="T747" s="5"/>
    </row>
    <row r="748" spans="3:20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  <c r="T748" s="5"/>
    </row>
    <row r="749" spans="3:20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  <c r="T749" s="5"/>
    </row>
    <row r="750" spans="3:20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  <c r="T750" s="5"/>
    </row>
    <row r="751" spans="3:20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  <c r="T751" s="5"/>
    </row>
    <row r="752" spans="3:20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  <c r="T752" s="5"/>
    </row>
    <row r="753" spans="3:20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  <c r="T753" s="5"/>
    </row>
    <row r="754" spans="3:20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  <c r="T754" s="5"/>
    </row>
    <row r="755" spans="3:20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  <c r="T755" s="5"/>
    </row>
    <row r="756" spans="3:20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  <c r="T756" s="5"/>
    </row>
    <row r="757" spans="3:20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  <c r="T757" s="5"/>
    </row>
    <row r="758" spans="3:20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  <c r="T758" s="5"/>
    </row>
    <row r="759" spans="3:20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  <c r="T759" s="5"/>
    </row>
    <row r="760" spans="3:20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  <c r="T760" s="5"/>
    </row>
    <row r="761" spans="3:20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  <c r="T761" s="5"/>
    </row>
    <row r="762" spans="3:20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  <c r="T762" s="5"/>
    </row>
    <row r="763" spans="3:20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  <c r="T763" s="5"/>
    </row>
    <row r="764" spans="3:20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  <c r="T764" s="5"/>
    </row>
    <row r="765" spans="3:20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  <c r="T765" s="5"/>
    </row>
    <row r="766" spans="3:20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  <c r="T766" s="5"/>
    </row>
    <row r="767" spans="3:20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  <c r="T767" s="5"/>
    </row>
    <row r="768" spans="3:20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  <c r="T768" s="5"/>
    </row>
    <row r="769" spans="3:20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  <c r="T769" s="5"/>
    </row>
    <row r="770" spans="3:20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  <c r="T770" s="5"/>
    </row>
    <row r="771" spans="3:20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  <c r="T771" s="5"/>
    </row>
    <row r="772" spans="3:20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  <c r="T772" s="5"/>
    </row>
    <row r="773" spans="3:20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  <c r="T773" s="5"/>
    </row>
    <row r="774" spans="3:20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  <c r="T774" s="5"/>
    </row>
    <row r="775" spans="3:20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  <c r="T775" s="5"/>
    </row>
    <row r="776" spans="3:20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  <c r="T776" s="5"/>
    </row>
    <row r="777" spans="3:20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  <c r="T777" s="5"/>
    </row>
    <row r="778" spans="3:20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  <c r="T778" s="5"/>
    </row>
    <row r="779" spans="3:20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  <c r="T779" s="5"/>
    </row>
    <row r="780" spans="3:20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  <c r="T780" s="5"/>
    </row>
    <row r="781" spans="3:20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  <c r="T781" s="5"/>
    </row>
    <row r="782" spans="3:20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  <c r="T782" s="5"/>
    </row>
    <row r="783" spans="3:20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  <c r="T783" s="5"/>
    </row>
    <row r="784" spans="3:20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  <c r="T784" s="5"/>
    </row>
    <row r="785" spans="3:20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  <c r="T785" s="5"/>
    </row>
    <row r="786" spans="3:20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  <c r="T786" s="5"/>
    </row>
    <row r="787" spans="3:20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  <c r="T787" s="5"/>
    </row>
    <row r="788" spans="3:20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  <c r="T788" s="5"/>
    </row>
    <row r="789" spans="3:20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  <c r="T789" s="5"/>
    </row>
    <row r="790" spans="3:20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  <c r="T790" s="5"/>
    </row>
    <row r="791" spans="3:20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  <c r="T791" s="5"/>
    </row>
    <row r="792" spans="3:20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  <c r="T792" s="5"/>
    </row>
    <row r="793" spans="3:20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  <c r="T793" s="5"/>
    </row>
    <row r="794" spans="3:20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  <c r="T794" s="5"/>
    </row>
    <row r="795" spans="3:20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  <c r="T795" s="5"/>
    </row>
    <row r="796" spans="3:20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  <c r="T796" s="5"/>
    </row>
    <row r="797" spans="3:20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  <c r="T797" s="5"/>
    </row>
    <row r="798" spans="3:20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  <c r="T798" s="5"/>
    </row>
    <row r="799" spans="3:20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  <c r="T799" s="5"/>
    </row>
    <row r="800" spans="3:20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  <c r="T800" s="5"/>
    </row>
    <row r="801" spans="3:20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  <c r="T801" s="5"/>
    </row>
    <row r="802" spans="3:20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  <c r="T802" s="5"/>
    </row>
    <row r="803" spans="3:20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  <c r="T803" s="5"/>
    </row>
    <row r="804" spans="3:20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  <c r="T804" s="5"/>
    </row>
    <row r="805" spans="3:20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  <c r="T805" s="5"/>
    </row>
    <row r="806" spans="3:20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  <c r="T806" s="5"/>
    </row>
    <row r="807" spans="3:20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  <c r="T807" s="5"/>
    </row>
    <row r="808" spans="3:20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  <c r="T808" s="5"/>
    </row>
    <row r="809" spans="3:20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  <c r="T809" s="5"/>
    </row>
    <row r="810" spans="3:20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  <c r="T810" s="5"/>
    </row>
    <row r="811" spans="3:20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  <c r="T811" s="5"/>
    </row>
    <row r="812" spans="3:20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  <c r="T812" s="5"/>
    </row>
    <row r="813" spans="3:20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  <c r="T813" s="5"/>
    </row>
    <row r="814" spans="3:20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  <c r="T814" s="5"/>
    </row>
    <row r="815" spans="3:20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  <c r="T815" s="5"/>
    </row>
    <row r="816" spans="3:20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  <c r="T816" s="5"/>
    </row>
    <row r="817" spans="3:20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  <c r="T817" s="5"/>
    </row>
    <row r="818" spans="3:20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  <c r="T818" s="5"/>
    </row>
    <row r="819" spans="3:20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  <c r="T819" s="5"/>
    </row>
    <row r="820" spans="3:20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  <c r="T820" s="5"/>
    </row>
    <row r="821" spans="3:20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  <c r="T821" s="5"/>
    </row>
    <row r="822" spans="3:20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  <c r="T822" s="5"/>
    </row>
    <row r="823" spans="3:20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  <c r="T823" s="5"/>
    </row>
    <row r="824" spans="3:20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  <c r="T824" s="5"/>
    </row>
    <row r="825" spans="3:20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  <c r="T825" s="5"/>
    </row>
    <row r="826" spans="3:20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  <c r="T826" s="5"/>
    </row>
    <row r="827" spans="3:20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  <c r="T827" s="5"/>
    </row>
    <row r="828" spans="3:20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  <c r="T828" s="5"/>
    </row>
    <row r="829" spans="3:20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  <c r="T829" s="5"/>
    </row>
    <row r="830" spans="3:20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  <c r="T830" s="5"/>
    </row>
    <row r="831" spans="3:20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  <c r="T831" s="5"/>
    </row>
    <row r="832" spans="3:20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  <c r="T832" s="5"/>
    </row>
    <row r="833" spans="3:20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  <c r="T833" s="5"/>
    </row>
    <row r="834" spans="3:20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  <c r="T834" s="5"/>
    </row>
    <row r="835" spans="3:20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  <c r="T835" s="5"/>
    </row>
    <row r="836" spans="3:20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  <c r="T836" s="5"/>
    </row>
    <row r="837" spans="3:20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  <c r="T837" s="5"/>
    </row>
    <row r="838" spans="3:20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  <c r="T838" s="5"/>
    </row>
    <row r="839" spans="3:20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  <c r="T839" s="5"/>
    </row>
    <row r="840" spans="3:20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  <c r="T840" s="5"/>
    </row>
    <row r="841" spans="3:20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  <c r="T841" s="5"/>
    </row>
    <row r="842" spans="3:20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  <c r="T842" s="5"/>
    </row>
    <row r="843" spans="3:20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  <c r="T843" s="5"/>
    </row>
    <row r="844" spans="3:20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  <c r="T844" s="5"/>
    </row>
    <row r="845" spans="3:20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  <c r="T845" s="5"/>
    </row>
    <row r="846" spans="3:20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  <c r="T846" s="5"/>
    </row>
    <row r="847" spans="3:20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  <c r="T847" s="5"/>
    </row>
    <row r="848" spans="3:20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  <c r="T848" s="5"/>
    </row>
    <row r="849" spans="3:20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  <c r="T849" s="5"/>
    </row>
    <row r="850" spans="3:20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  <c r="T850" s="5"/>
    </row>
    <row r="851" spans="3:20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  <c r="T851" s="5"/>
    </row>
    <row r="852" spans="3:20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  <c r="T852" s="5"/>
    </row>
    <row r="853" spans="3:20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  <c r="T853" s="5"/>
    </row>
    <row r="854" spans="3:20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  <c r="T854" s="5"/>
    </row>
    <row r="855" spans="3:20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  <c r="T855" s="5"/>
    </row>
    <row r="856" spans="3:20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  <c r="T856" s="5"/>
    </row>
    <row r="857" spans="3:20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  <c r="T857" s="5"/>
    </row>
    <row r="858" spans="3:20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  <c r="T858" s="5"/>
    </row>
    <row r="859" spans="3:20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  <c r="T859" s="5"/>
    </row>
    <row r="860" spans="3:20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  <c r="T860" s="5"/>
    </row>
    <row r="861" spans="3:20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  <c r="T861" s="5"/>
    </row>
    <row r="862" spans="3:20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  <c r="T862" s="5"/>
    </row>
    <row r="863" spans="3:20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  <c r="T863" s="5"/>
    </row>
    <row r="864" spans="3:20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  <c r="T864" s="5"/>
    </row>
    <row r="865" spans="3:20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  <c r="T865" s="5"/>
    </row>
    <row r="866" spans="3:20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  <c r="T866" s="5"/>
    </row>
    <row r="867" spans="3:20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  <c r="T867" s="5"/>
    </row>
    <row r="868" spans="3:20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  <c r="T868" s="5"/>
    </row>
    <row r="869" spans="3:20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  <c r="T869" s="5"/>
    </row>
    <row r="870" spans="3:20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  <c r="T870" s="5"/>
    </row>
    <row r="871" spans="3:20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  <c r="T871" s="5"/>
    </row>
    <row r="872" spans="3:20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  <c r="T872" s="5"/>
    </row>
    <row r="873" spans="3:20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  <c r="T873" s="5"/>
    </row>
    <row r="874" spans="3:20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  <c r="T874" s="5"/>
    </row>
    <row r="875" spans="3:20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  <c r="T875" s="5"/>
    </row>
    <row r="876" spans="3:20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  <c r="T876" s="5"/>
    </row>
    <row r="877" spans="3:20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  <c r="T877" s="5"/>
    </row>
    <row r="878" spans="3:20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  <c r="T878" s="5"/>
    </row>
    <row r="879" spans="3:20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  <c r="T879" s="5"/>
    </row>
    <row r="880" spans="3:20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  <c r="T880" s="5"/>
    </row>
    <row r="881" spans="3:20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  <c r="T881" s="5"/>
    </row>
    <row r="882" spans="3:20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  <c r="T882" s="5"/>
    </row>
    <row r="883" spans="3:20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  <c r="T883" s="5"/>
    </row>
    <row r="884" spans="3:20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  <c r="T884" s="5"/>
    </row>
    <row r="885" spans="3:20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  <c r="T885" s="5"/>
    </row>
    <row r="886" spans="3:20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  <c r="T886" s="5"/>
    </row>
    <row r="887" spans="3:20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  <c r="T887" s="5"/>
    </row>
    <row r="888" spans="3:20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  <c r="T888" s="5"/>
    </row>
    <row r="889" spans="3:20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  <c r="T889" s="5"/>
    </row>
    <row r="890" spans="3:20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  <c r="T890" s="5"/>
    </row>
    <row r="891" spans="3:20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  <c r="T891" s="5"/>
    </row>
    <row r="892" spans="3:20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  <c r="T892" s="5"/>
    </row>
    <row r="893" spans="3:20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  <c r="T893" s="5"/>
    </row>
    <row r="894" spans="3:20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  <c r="T894" s="5"/>
    </row>
    <row r="895" spans="3:20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  <c r="T895" s="5"/>
    </row>
    <row r="896" spans="3:20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  <c r="T896" s="5"/>
    </row>
    <row r="897" spans="3:20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  <c r="T897" s="5"/>
    </row>
    <row r="898" spans="3:20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  <c r="T898" s="5"/>
    </row>
    <row r="899" spans="3:20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  <c r="T899" s="5"/>
    </row>
    <row r="900" spans="3:20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  <c r="T900" s="5"/>
    </row>
    <row r="901" spans="3:20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  <c r="T901" s="5"/>
    </row>
    <row r="902" spans="3:20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  <c r="T902" s="5"/>
    </row>
    <row r="903" spans="3:20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  <c r="T903" s="5"/>
    </row>
    <row r="904" spans="3:20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  <c r="T904" s="5"/>
    </row>
    <row r="905" spans="3:20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  <c r="T905" s="5"/>
    </row>
    <row r="906" spans="3:20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  <c r="T906" s="5"/>
    </row>
    <row r="907" spans="3:20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  <c r="T907" s="5"/>
    </row>
    <row r="908" spans="3:20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  <c r="T908" s="5"/>
    </row>
    <row r="909" spans="3:20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  <c r="T909" s="5"/>
    </row>
    <row r="910" spans="3:20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  <c r="T910" s="5"/>
    </row>
    <row r="911" spans="3:20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  <c r="T911" s="5"/>
    </row>
    <row r="912" spans="3:20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  <c r="T912" s="5"/>
    </row>
    <row r="913" spans="3:20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  <c r="T913" s="5"/>
    </row>
    <row r="914" spans="3:20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  <c r="T914" s="5"/>
    </row>
    <row r="915" spans="3:20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  <c r="T915" s="5"/>
    </row>
    <row r="916" spans="3:20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  <c r="T916" s="5"/>
    </row>
    <row r="917" spans="3:20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  <c r="T917" s="5"/>
    </row>
    <row r="918" spans="3:20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  <c r="T918" s="5"/>
    </row>
    <row r="919" spans="3:20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  <c r="T919" s="5"/>
    </row>
    <row r="920" spans="3:20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  <c r="T920" s="5"/>
    </row>
    <row r="921" spans="3:20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  <c r="T921" s="5"/>
    </row>
    <row r="922" spans="3:20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  <c r="T922" s="5"/>
    </row>
    <row r="923" spans="3:20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  <c r="T923" s="5"/>
    </row>
    <row r="924" spans="3:20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  <c r="T924" s="5"/>
    </row>
    <row r="925" spans="3:20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  <c r="T925" s="5"/>
    </row>
    <row r="926" spans="3:20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  <c r="T926" s="5"/>
    </row>
    <row r="927" spans="3:20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  <c r="T927" s="5"/>
    </row>
    <row r="928" spans="3:20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  <c r="T928" s="5"/>
    </row>
    <row r="929" spans="3:20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  <c r="T929" s="5"/>
    </row>
    <row r="930" spans="3:20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  <c r="T930" s="5"/>
    </row>
    <row r="931" spans="3:20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  <c r="T931" s="5"/>
    </row>
    <row r="932" spans="3:20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  <c r="T932" s="5"/>
    </row>
    <row r="933" spans="3:20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  <c r="T933" s="5"/>
    </row>
    <row r="934" spans="3:20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  <c r="T934" s="5"/>
    </row>
    <row r="935" spans="3:20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  <c r="T935" s="5"/>
    </row>
    <row r="936" spans="3:20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  <c r="T936" s="5"/>
    </row>
    <row r="937" spans="3:20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  <c r="T937" s="5"/>
    </row>
    <row r="938" spans="3:20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  <c r="T938" s="5"/>
    </row>
    <row r="939" spans="3:20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  <c r="T939" s="5"/>
    </row>
    <row r="940" spans="3:20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  <c r="T940" s="5"/>
    </row>
    <row r="941" spans="3:20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  <c r="T941" s="5"/>
    </row>
    <row r="942" spans="3:20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  <c r="T942" s="5"/>
    </row>
    <row r="943" spans="3:20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  <c r="T943" s="5"/>
    </row>
    <row r="944" spans="3:20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  <c r="T944" s="5"/>
    </row>
    <row r="945" spans="3:20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  <c r="T945" s="5"/>
    </row>
    <row r="946" spans="3:20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  <c r="T946" s="5"/>
    </row>
    <row r="947" spans="3:20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  <c r="T947" s="5"/>
    </row>
    <row r="948" spans="3:20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  <c r="T948" s="5"/>
    </row>
    <row r="949" spans="3:20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  <c r="T949" s="5"/>
    </row>
    <row r="950" spans="3:20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  <c r="T950" s="5"/>
    </row>
    <row r="951" spans="3:20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  <c r="T951" s="5"/>
    </row>
    <row r="952" spans="3:20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  <c r="T952" s="5"/>
    </row>
    <row r="953" spans="3:20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  <c r="T953" s="5"/>
    </row>
    <row r="954" spans="3:20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  <c r="T954" s="5"/>
    </row>
    <row r="955" spans="3:20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  <c r="T955" s="5"/>
    </row>
    <row r="956" spans="3:20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  <c r="T956" s="5"/>
    </row>
    <row r="957" spans="3:20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  <c r="T957" s="5"/>
    </row>
    <row r="958" spans="3:20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  <c r="T958" s="5"/>
    </row>
    <row r="959" spans="3:20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  <c r="T959" s="5"/>
    </row>
    <row r="960" spans="3:20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  <c r="T960" s="5"/>
    </row>
    <row r="961" spans="3:20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  <c r="T961" s="5"/>
    </row>
    <row r="962" spans="3:20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  <c r="T962" s="5"/>
    </row>
    <row r="963" spans="3:20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  <c r="T963" s="5"/>
    </row>
    <row r="964" spans="3:20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  <c r="T964" s="5"/>
    </row>
    <row r="965" spans="3:20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  <c r="T965" s="5"/>
    </row>
    <row r="966" spans="3:20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  <c r="T966" s="5"/>
    </row>
    <row r="967" spans="3:20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  <c r="T967" s="5"/>
    </row>
    <row r="968" spans="3:20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  <c r="T968" s="5"/>
    </row>
    <row r="969" spans="3:20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  <c r="T969" s="5"/>
    </row>
    <row r="970" spans="3:20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  <c r="T970" s="5"/>
    </row>
    <row r="971" spans="3:20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  <c r="T971" s="5"/>
    </row>
    <row r="972" spans="3:20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  <c r="T972" s="5"/>
    </row>
    <row r="973" spans="3:20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  <c r="T973" s="5"/>
    </row>
    <row r="974" spans="3:20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  <c r="T974" s="5"/>
    </row>
    <row r="975" spans="3:20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  <c r="T975" s="5"/>
    </row>
    <row r="976" spans="3:20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  <c r="T976" s="5"/>
    </row>
    <row r="977" spans="3:20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  <c r="T977" s="5"/>
    </row>
    <row r="978" spans="3:20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  <c r="T978" s="5"/>
    </row>
    <row r="979" spans="3:20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  <c r="T979" s="5"/>
    </row>
    <row r="980" spans="3:20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  <c r="T980" s="5"/>
    </row>
    <row r="981" spans="3:20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  <c r="T981" s="5"/>
    </row>
    <row r="982" spans="3:20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  <c r="T982" s="5"/>
    </row>
    <row r="983" spans="3:20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  <c r="T983" s="5"/>
    </row>
    <row r="984" spans="3:20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  <c r="T984" s="5"/>
    </row>
    <row r="985" spans="3:20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  <c r="T985" s="5"/>
    </row>
    <row r="986" spans="3:20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  <c r="T986" s="5"/>
    </row>
    <row r="987" spans="3:20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  <c r="T987" s="5"/>
    </row>
    <row r="988" spans="3:20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  <c r="T988" s="5"/>
    </row>
    <row r="989" spans="3:20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  <c r="T989" s="5"/>
    </row>
    <row r="990" spans="3:20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  <c r="T990" s="5"/>
    </row>
    <row r="991" spans="3:20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  <c r="T991" s="5"/>
    </row>
    <row r="992" spans="3:20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  <c r="T992" s="5"/>
    </row>
    <row r="993" spans="3:20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  <c r="T993" s="5"/>
    </row>
    <row r="994" spans="3:20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  <c r="T994" s="5"/>
    </row>
    <row r="995" spans="3:20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  <c r="T995" s="5"/>
    </row>
    <row r="996" spans="3:20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  <c r="T996" s="5"/>
    </row>
    <row r="997" spans="3:20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  <c r="T997" s="5"/>
    </row>
    <row r="998" spans="3:20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  <c r="T998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6"/>
  <sheetViews>
    <sheetView topLeftCell="B1" workbookViewId="0">
      <selection activeCell="E14" sqref="E1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20" width="13" customWidth="1"/>
    <col min="21" max="37" width="7.625" customWidth="1"/>
  </cols>
  <sheetData>
    <row r="1" spans="1:37" ht="18.75" thickBot="1">
      <c r="A1" s="41"/>
      <c r="B1" s="478" t="s">
        <v>54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33"/>
      <c r="C2" s="133"/>
      <c r="D2" s="133"/>
      <c r="E2" s="133"/>
      <c r="F2" s="195"/>
      <c r="G2" s="133"/>
      <c r="H2" s="133"/>
      <c r="I2" s="133"/>
      <c r="J2" s="133"/>
      <c r="K2" s="133"/>
      <c r="L2" s="89"/>
      <c r="M2" s="486" t="s">
        <v>0</v>
      </c>
      <c r="N2" s="474"/>
      <c r="O2" s="475"/>
      <c r="P2" s="134" t="s">
        <v>32</v>
      </c>
      <c r="Q2" s="487" t="s">
        <v>33</v>
      </c>
      <c r="R2" s="474"/>
      <c r="S2" s="47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259" t="s">
        <v>34</v>
      </c>
      <c r="C3" s="260" t="s">
        <v>35</v>
      </c>
      <c r="D3" s="261" t="s">
        <v>36</v>
      </c>
      <c r="E3" s="262" t="s">
        <v>37</v>
      </c>
      <c r="F3" s="262" t="s">
        <v>38</v>
      </c>
      <c r="G3" s="263" t="s">
        <v>39</v>
      </c>
      <c r="H3" s="262" t="s">
        <v>40</v>
      </c>
      <c r="I3" s="262" t="s">
        <v>41</v>
      </c>
      <c r="J3" s="491" t="s">
        <v>42</v>
      </c>
      <c r="K3" s="492"/>
      <c r="L3" s="493"/>
      <c r="M3" s="264" t="s">
        <v>4</v>
      </c>
      <c r="N3" s="265" t="s">
        <v>5</v>
      </c>
      <c r="O3" s="266" t="s">
        <v>6</v>
      </c>
      <c r="P3" s="266" t="s">
        <v>4</v>
      </c>
      <c r="Q3" s="267" t="s">
        <v>8</v>
      </c>
      <c r="R3" s="268" t="s">
        <v>9</v>
      </c>
      <c r="S3" s="269" t="s">
        <v>44</v>
      </c>
    </row>
    <row r="4" spans="1:37" ht="22.5" customHeight="1">
      <c r="A4" s="10"/>
      <c r="B4" s="107">
        <v>1</v>
      </c>
      <c r="C4" s="108" t="s">
        <v>135</v>
      </c>
      <c r="D4" s="329" t="s">
        <v>137</v>
      </c>
      <c r="E4" s="386" t="s">
        <v>241</v>
      </c>
      <c r="F4" s="330" t="s">
        <v>138</v>
      </c>
      <c r="G4" s="374" t="s">
        <v>139</v>
      </c>
      <c r="H4" s="110" t="str">
        <f t="shared" ref="H4" si="0">UPPER(G4)</f>
        <v>PARTICIPAR DA OFICINA APRIMORANDO AS RESPOSTAS AOS ÓRGÃOS DE CONTROLE</v>
      </c>
      <c r="I4" s="111" t="s">
        <v>113</v>
      </c>
      <c r="J4" s="112">
        <v>45047</v>
      </c>
      <c r="K4" s="109">
        <v>22</v>
      </c>
      <c r="L4" s="113">
        <v>23</v>
      </c>
      <c r="M4" s="333">
        <f>57.8</f>
        <v>57.8</v>
      </c>
      <c r="N4" s="333">
        <v>124.05</v>
      </c>
      <c r="O4" s="114">
        <v>44.93</v>
      </c>
      <c r="P4" s="115"/>
      <c r="Q4" s="348">
        <v>1591</v>
      </c>
      <c r="R4" s="349">
        <f>569+109.45</f>
        <v>678.45</v>
      </c>
      <c r="S4" s="279">
        <f t="shared" ref="S4" si="1">M4+N4+O4+P4+Q4+R4</f>
        <v>2496.23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323" customFormat="1" ht="22.5" customHeight="1">
      <c r="A5" s="10"/>
      <c r="B5" s="179">
        <v>2</v>
      </c>
      <c r="C5" s="97" t="s">
        <v>136</v>
      </c>
      <c r="D5" s="367" t="s">
        <v>64</v>
      </c>
      <c r="E5" s="382" t="s">
        <v>242</v>
      </c>
      <c r="F5" s="304" t="s">
        <v>65</v>
      </c>
      <c r="G5" s="255" t="s">
        <v>140</v>
      </c>
      <c r="H5" s="177" t="str">
        <f>UPPER(G5)</f>
        <v>PARTICIPAR DO FINEP ORIENTA, VINCULADO A PRESTAÇÃO DE CONTAS DO PROJETO FINEP ONDE O HCPA É PROPONENTE E GANHADOR DE RECURSOS PARA A CONSTRUÇÃO DO ESPAÇO DE INOVAÇÃO JUNTO AO PRÉDIO DO CITI.</v>
      </c>
      <c r="I5" s="101" t="s">
        <v>156</v>
      </c>
      <c r="J5" s="102">
        <v>45047</v>
      </c>
      <c r="K5" s="99">
        <v>17</v>
      </c>
      <c r="L5" s="103">
        <v>19</v>
      </c>
      <c r="M5" s="326">
        <v>0</v>
      </c>
      <c r="N5" s="326">
        <v>351.66</v>
      </c>
      <c r="O5" s="373">
        <v>71.760000000000005</v>
      </c>
      <c r="P5" s="241"/>
      <c r="Q5" s="327">
        <v>0</v>
      </c>
      <c r="R5" s="307">
        <v>868.56</v>
      </c>
      <c r="S5" s="180">
        <f>M5+N5+O5+Q5+R5</f>
        <v>1291.98</v>
      </c>
      <c r="T5" s="372" t="s">
        <v>157</v>
      </c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23" customFormat="1" ht="22.5" customHeight="1">
      <c r="A6" s="10"/>
      <c r="B6" s="179">
        <v>3</v>
      </c>
      <c r="C6" s="97" t="s">
        <v>128</v>
      </c>
      <c r="D6" s="367" t="s">
        <v>137</v>
      </c>
      <c r="E6" s="382" t="s">
        <v>241</v>
      </c>
      <c r="F6" s="313" t="s">
        <v>138</v>
      </c>
      <c r="G6" s="304" t="s">
        <v>141</v>
      </c>
      <c r="H6" s="177" t="str">
        <f t="shared" ref="H6:H13" si="2">UPPER(G6)</f>
        <v>PARTICIPAÇÃO NO 56 FONAITEC.</v>
      </c>
      <c r="I6" s="101" t="s">
        <v>154</v>
      </c>
      <c r="J6" s="305">
        <v>45078</v>
      </c>
      <c r="K6" s="368">
        <v>20</v>
      </c>
      <c r="L6" s="369">
        <v>23</v>
      </c>
      <c r="M6" s="326">
        <v>209.88</v>
      </c>
      <c r="N6" s="326">
        <v>250.37</v>
      </c>
      <c r="O6" s="43"/>
      <c r="P6" s="241"/>
      <c r="Q6" s="327">
        <v>2572.4899999999998</v>
      </c>
      <c r="R6" s="307">
        <f>945+170</f>
        <v>1115</v>
      </c>
      <c r="S6" s="180">
        <f t="shared" ref="S6:S13" si="3">M6+N6+O6+Q6+R6</f>
        <v>4147.74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23" customFormat="1" ht="22.5" customHeight="1">
      <c r="A7" s="10"/>
      <c r="B7" s="179">
        <v>4</v>
      </c>
      <c r="C7" s="97" t="s">
        <v>128</v>
      </c>
      <c r="D7" s="367" t="s">
        <v>142</v>
      </c>
      <c r="E7" s="382" t="s">
        <v>243</v>
      </c>
      <c r="F7" s="304" t="s">
        <v>143</v>
      </c>
      <c r="G7" s="304" t="s">
        <v>141</v>
      </c>
      <c r="H7" s="177" t="str">
        <f t="shared" si="2"/>
        <v>PARTICIPAÇÃO NO 56 FONAITEC.</v>
      </c>
      <c r="I7" s="101" t="s">
        <v>154</v>
      </c>
      <c r="J7" s="305">
        <v>45078</v>
      </c>
      <c r="K7" s="368">
        <v>20</v>
      </c>
      <c r="L7" s="369">
        <v>23</v>
      </c>
      <c r="M7" s="326">
        <v>180</v>
      </c>
      <c r="N7" s="326">
        <v>70.3</v>
      </c>
      <c r="O7" s="43"/>
      <c r="P7" s="241"/>
      <c r="Q7" s="327">
        <v>2626.29</v>
      </c>
      <c r="R7" s="307">
        <f>945+318</f>
        <v>1263</v>
      </c>
      <c r="S7" s="180">
        <f t="shared" si="3"/>
        <v>4139.59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23" customFormat="1" ht="22.5" customHeight="1">
      <c r="A8" s="10"/>
      <c r="B8" s="179">
        <v>5</v>
      </c>
      <c r="C8" s="97" t="s">
        <v>129</v>
      </c>
      <c r="D8" s="99" t="s">
        <v>77</v>
      </c>
      <c r="E8" s="403" t="s">
        <v>228</v>
      </c>
      <c r="F8" s="99" t="s">
        <v>78</v>
      </c>
      <c r="G8" s="304" t="s">
        <v>144</v>
      </c>
      <c r="H8" s="177" t="str">
        <f t="shared" si="2"/>
        <v>PARTIC. AUDIÊNCIA COM O DIRETOR PROGR. DA SAES</v>
      </c>
      <c r="I8" s="101" t="s">
        <v>113</v>
      </c>
      <c r="J8" s="102">
        <v>45047</v>
      </c>
      <c r="K8" s="370">
        <v>30</v>
      </c>
      <c r="L8" s="371">
        <v>30</v>
      </c>
      <c r="M8" s="326">
        <v>0</v>
      </c>
      <c r="N8" s="326">
        <v>97</v>
      </c>
      <c r="O8" s="43"/>
      <c r="P8" s="241"/>
      <c r="Q8" s="327">
        <f>2753+957.73</f>
        <v>3710.73</v>
      </c>
      <c r="R8" s="307">
        <v>0</v>
      </c>
      <c r="S8" s="180">
        <f t="shared" si="3"/>
        <v>3807.73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23" customFormat="1" ht="22.5" customHeight="1">
      <c r="A9" s="10"/>
      <c r="B9" s="179">
        <v>6</v>
      </c>
      <c r="C9" s="97" t="s">
        <v>130</v>
      </c>
      <c r="D9" s="367" t="s">
        <v>145</v>
      </c>
      <c r="E9" s="382" t="s">
        <v>244</v>
      </c>
      <c r="F9" s="309" t="s">
        <v>146</v>
      </c>
      <c r="G9" s="304" t="s">
        <v>144</v>
      </c>
      <c r="H9" s="177" t="str">
        <f t="shared" si="2"/>
        <v>PARTIC. AUDIÊNCIA COM O DIRETOR PROGR. DA SAES</v>
      </c>
      <c r="I9" s="101" t="s">
        <v>113</v>
      </c>
      <c r="J9" s="102">
        <v>45047</v>
      </c>
      <c r="K9" s="370">
        <v>30</v>
      </c>
      <c r="L9" s="371">
        <v>30</v>
      </c>
      <c r="M9" s="326">
        <v>59</v>
      </c>
      <c r="N9" s="326">
        <v>55</v>
      </c>
      <c r="O9" s="43"/>
      <c r="P9" s="241"/>
      <c r="Q9" s="327">
        <f>957.73+1215.27</f>
        <v>2173</v>
      </c>
      <c r="R9" s="365">
        <v>0</v>
      </c>
      <c r="S9" s="180">
        <f t="shared" si="3"/>
        <v>2287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23" customFormat="1" ht="22.5" customHeight="1">
      <c r="A10" s="10"/>
      <c r="B10" s="179">
        <v>7</v>
      </c>
      <c r="C10" s="97" t="s">
        <v>131</v>
      </c>
      <c r="D10" s="367" t="s">
        <v>147</v>
      </c>
      <c r="E10" s="382" t="s">
        <v>245</v>
      </c>
      <c r="F10" s="304" t="s">
        <v>148</v>
      </c>
      <c r="G10" s="304" t="s">
        <v>149</v>
      </c>
      <c r="H10" s="177" t="str">
        <f t="shared" si="2"/>
        <v>PARTICIPAÇÃO DA FEIRA HOSPITALAR 2023</v>
      </c>
      <c r="I10" s="101" t="s">
        <v>155</v>
      </c>
      <c r="J10" s="102">
        <v>45047</v>
      </c>
      <c r="K10" s="370">
        <v>23</v>
      </c>
      <c r="L10" s="371">
        <v>23</v>
      </c>
      <c r="M10" s="326">
        <v>0</v>
      </c>
      <c r="N10" s="326">
        <v>214.02</v>
      </c>
      <c r="O10" s="43"/>
      <c r="P10" s="241"/>
      <c r="Q10" s="327">
        <v>3670.56</v>
      </c>
      <c r="R10" s="365">
        <v>0</v>
      </c>
      <c r="S10" s="180">
        <f t="shared" si="3"/>
        <v>3884.58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23" customFormat="1" ht="22.5" customHeight="1">
      <c r="A11" s="10"/>
      <c r="B11" s="179">
        <v>8</v>
      </c>
      <c r="C11" s="97" t="s">
        <v>132</v>
      </c>
      <c r="D11" s="367" t="s">
        <v>150</v>
      </c>
      <c r="E11" s="382" t="s">
        <v>246</v>
      </c>
      <c r="F11" s="309" t="s">
        <v>151</v>
      </c>
      <c r="G11" s="304" t="s">
        <v>149</v>
      </c>
      <c r="H11" s="177" t="str">
        <f t="shared" si="2"/>
        <v>PARTICIPAÇÃO DA FEIRA HOSPITALAR 2023</v>
      </c>
      <c r="I11" s="101" t="s">
        <v>155</v>
      </c>
      <c r="J11" s="102">
        <v>45047</v>
      </c>
      <c r="K11" s="370">
        <v>23</v>
      </c>
      <c r="L11" s="371">
        <v>23</v>
      </c>
      <c r="M11" s="326">
        <v>54.84</v>
      </c>
      <c r="N11" s="326">
        <v>178.9</v>
      </c>
      <c r="O11" s="43"/>
      <c r="P11" s="241"/>
      <c r="Q11" s="327">
        <v>3670.56</v>
      </c>
      <c r="R11" s="365">
        <v>0</v>
      </c>
      <c r="S11" s="180">
        <f t="shared" si="3"/>
        <v>3904.3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23" customFormat="1" ht="22.5" customHeight="1">
      <c r="A12" s="10"/>
      <c r="B12" s="179">
        <v>9</v>
      </c>
      <c r="C12" s="97" t="s">
        <v>133</v>
      </c>
      <c r="D12" s="367" t="s">
        <v>152</v>
      </c>
      <c r="E12" s="382" t="s">
        <v>247</v>
      </c>
      <c r="F12" s="304" t="s">
        <v>153</v>
      </c>
      <c r="G12" s="304" t="s">
        <v>149</v>
      </c>
      <c r="H12" s="177" t="str">
        <f t="shared" si="2"/>
        <v>PARTICIPAÇÃO DA FEIRA HOSPITALAR 2023</v>
      </c>
      <c r="I12" s="101" t="s">
        <v>155</v>
      </c>
      <c r="J12" s="102">
        <v>45047</v>
      </c>
      <c r="K12" s="370">
        <v>23</v>
      </c>
      <c r="L12" s="371">
        <v>23</v>
      </c>
      <c r="M12" s="326">
        <v>19.95</v>
      </c>
      <c r="N12" s="326">
        <v>182.9</v>
      </c>
      <c r="O12" s="43"/>
      <c r="P12" s="241"/>
      <c r="Q12" s="327">
        <v>3670.56</v>
      </c>
      <c r="R12" s="365">
        <v>0</v>
      </c>
      <c r="S12" s="180">
        <f t="shared" si="3"/>
        <v>3873.41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323" customFormat="1" ht="22.5" customHeight="1" thickBot="1">
      <c r="A13" s="10"/>
      <c r="B13" s="286">
        <v>10</v>
      </c>
      <c r="C13" s="193" t="s">
        <v>134</v>
      </c>
      <c r="D13" s="375" t="s">
        <v>80</v>
      </c>
      <c r="E13" s="423" t="s">
        <v>229</v>
      </c>
      <c r="F13" s="121" t="s">
        <v>81</v>
      </c>
      <c r="G13" s="376" t="s">
        <v>144</v>
      </c>
      <c r="H13" s="290" t="str">
        <f t="shared" si="2"/>
        <v>PARTIC. AUDIÊNCIA COM O DIRETOR PROGR. DA SAES</v>
      </c>
      <c r="I13" s="124" t="s">
        <v>113</v>
      </c>
      <c r="J13" s="125">
        <v>45047</v>
      </c>
      <c r="K13" s="377">
        <v>30</v>
      </c>
      <c r="L13" s="378">
        <v>30</v>
      </c>
      <c r="M13" s="339">
        <v>109.77</v>
      </c>
      <c r="N13" s="339">
        <v>138.5</v>
      </c>
      <c r="O13" s="295"/>
      <c r="P13" s="296"/>
      <c r="Q13" s="341">
        <f>957.73+1215.27</f>
        <v>2173</v>
      </c>
      <c r="R13" s="366">
        <v>0</v>
      </c>
      <c r="S13" s="283">
        <f t="shared" si="3"/>
        <v>2421.27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thickBot="1">
      <c r="A14" s="10"/>
      <c r="B14" s="14"/>
      <c r="C14" s="15"/>
      <c r="D14" s="16"/>
      <c r="E14" s="16"/>
      <c r="F14" s="16"/>
      <c r="G14" s="16"/>
      <c r="H14" s="16"/>
      <c r="I14" s="16"/>
      <c r="J14" s="56"/>
      <c r="K14" s="57"/>
      <c r="L14" s="57"/>
      <c r="M14" s="17"/>
      <c r="N14" s="17"/>
      <c r="O14" s="17"/>
      <c r="P14" s="11"/>
      <c r="Q14" s="18"/>
      <c r="R14" s="19"/>
      <c r="S14" s="2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>
      <c r="A15" s="21"/>
      <c r="B15" s="58" t="s">
        <v>13</v>
      </c>
      <c r="C15" s="21"/>
      <c r="D15" s="59" t="s">
        <v>45</v>
      </c>
      <c r="E15" s="60"/>
      <c r="F15" s="21"/>
      <c r="G15" s="21"/>
      <c r="H15" s="21"/>
      <c r="I15" s="61"/>
      <c r="J15" s="21"/>
      <c r="K15" s="14"/>
      <c r="L15" s="21"/>
      <c r="M15" s="73">
        <f t="shared" ref="M15:R15" si="4">SUM(M4:M13)</f>
        <v>691.24</v>
      </c>
      <c r="N15" s="73">
        <f t="shared" si="4"/>
        <v>1662.7000000000003</v>
      </c>
      <c r="O15" s="73">
        <f t="shared" si="4"/>
        <v>116.69</v>
      </c>
      <c r="P15" s="76">
        <f t="shared" si="4"/>
        <v>0</v>
      </c>
      <c r="Q15" s="64">
        <f t="shared" si="4"/>
        <v>25858.190000000002</v>
      </c>
      <c r="R15" s="65">
        <f t="shared" si="4"/>
        <v>3925.01</v>
      </c>
      <c r="S15" s="23">
        <f>SUM(S4:S13)+P16</f>
        <v>32253.829999999998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15.75">
      <c r="A16" s="24"/>
      <c r="B16" s="24"/>
      <c r="C16" s="24"/>
      <c r="D16" s="476"/>
      <c r="E16" s="472"/>
      <c r="F16" s="472"/>
      <c r="G16" s="472"/>
      <c r="H16" s="472"/>
      <c r="I16" s="472"/>
      <c r="J16" s="472"/>
      <c r="K16" s="472"/>
      <c r="L16" s="24"/>
      <c r="M16" s="25"/>
      <c r="N16" s="25"/>
      <c r="O16" s="66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15.75">
      <c r="A17" s="24"/>
      <c r="B17" s="24"/>
      <c r="C17" s="24"/>
      <c r="D17" s="60"/>
      <c r="E17" s="60"/>
      <c r="F17" s="60"/>
      <c r="G17" s="24"/>
      <c r="H17" s="24"/>
      <c r="I17" s="27"/>
      <c r="J17" s="24"/>
      <c r="K17" s="24"/>
      <c r="L17" s="24"/>
      <c r="M17" s="25"/>
      <c r="N17" s="25"/>
      <c r="O17" s="25"/>
      <c r="P17" s="67">
        <f>P15+P16</f>
        <v>0</v>
      </c>
      <c r="Q17" s="28"/>
      <c r="R17" s="29"/>
      <c r="S17" s="68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>
      <c r="A18" s="24"/>
      <c r="B18" s="24"/>
      <c r="C18" s="24"/>
      <c r="D18" s="477"/>
      <c r="E18" s="472"/>
      <c r="F18" s="472"/>
      <c r="G18" s="472"/>
      <c r="H18" s="472"/>
      <c r="I18" s="472"/>
      <c r="J18" s="472"/>
      <c r="K18" s="472"/>
      <c r="L18" s="24"/>
      <c r="M18" s="25"/>
      <c r="N18" s="25"/>
      <c r="O18" s="25"/>
      <c r="P18" s="11"/>
      <c r="Q18" s="4" t="s">
        <v>25</v>
      </c>
      <c r="R18" s="69">
        <f>M15+N15+O15+P17+Q15+R15</f>
        <v>32253.83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15.75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6" t="s">
        <v>13</v>
      </c>
      <c r="P19" s="11" t="s">
        <v>47</v>
      </c>
      <c r="Q19" s="4"/>
      <c r="R19" s="5"/>
      <c r="S19" s="5"/>
    </row>
    <row r="20" spans="1:37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</row>
    <row r="26" spans="1:37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</row>
    <row r="27" spans="1:37" ht="15.75" customHeight="1">
      <c r="C27" s="1"/>
      <c r="I27" s="2"/>
      <c r="J27" s="40"/>
      <c r="K27" s="40"/>
      <c r="L27" s="40"/>
      <c r="M27" s="3"/>
      <c r="N27" s="3"/>
      <c r="O27" s="3"/>
      <c r="P27" s="11"/>
    </row>
    <row r="28" spans="1:37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</row>
    <row r="29" spans="1:37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0"/>
    </row>
    <row r="30" spans="1:37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</row>
    <row r="31" spans="1:37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</row>
    <row r="32" spans="1:37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15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15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15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15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15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/>
    <row r="112" spans="3:19" ht="15.75" customHeight="1"/>
    <row r="113" spans="3:19" ht="15.75" customHeight="1"/>
    <row r="114" spans="3:19" ht="15.75" customHeight="1"/>
    <row r="115" spans="3:19" ht="15.75" customHeight="1"/>
    <row r="116" spans="3:19" ht="15.75" customHeight="1"/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0"/>
      <c r="K990" s="40"/>
      <c r="L990" s="40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0"/>
      <c r="K991" s="40"/>
      <c r="L991" s="40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0"/>
      <c r="K992" s="40"/>
      <c r="L992" s="40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0"/>
      <c r="K993" s="40"/>
      <c r="L993" s="40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0"/>
      <c r="K994" s="40"/>
      <c r="L994" s="40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0"/>
      <c r="K995" s="40"/>
      <c r="L995" s="40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0"/>
      <c r="K996" s="40"/>
      <c r="L996" s="40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0"/>
      <c r="K997" s="40"/>
      <c r="L997" s="40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0"/>
      <c r="K998" s="40"/>
      <c r="L998" s="40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0"/>
      <c r="K999" s="40"/>
      <c r="L999" s="40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0"/>
      <c r="K1000" s="40"/>
      <c r="L1000" s="40"/>
      <c r="M1000" s="3"/>
      <c r="N1000" s="3"/>
      <c r="O1000" s="3"/>
      <c r="Q1000" s="4"/>
      <c r="R1000" s="5"/>
      <c r="S1000" s="5"/>
    </row>
    <row r="1001" spans="3:19" ht="15.75" customHeight="1">
      <c r="C1001" s="1"/>
      <c r="I1001" s="2"/>
      <c r="J1001" s="40"/>
      <c r="K1001" s="40"/>
      <c r="L1001" s="40"/>
      <c r="M1001" s="3"/>
      <c r="N1001" s="3"/>
      <c r="O1001" s="3"/>
      <c r="Q1001" s="4"/>
      <c r="R1001" s="5"/>
      <c r="S1001" s="5"/>
    </row>
    <row r="1002" spans="3:19" ht="15.75" customHeight="1">
      <c r="C1002" s="1"/>
      <c r="I1002" s="2"/>
      <c r="J1002" s="40"/>
      <c r="K1002" s="40"/>
      <c r="L1002" s="40"/>
      <c r="M1002" s="3"/>
      <c r="N1002" s="3"/>
      <c r="O1002" s="3"/>
      <c r="Q1002" s="4"/>
      <c r="R1002" s="5"/>
      <c r="S1002" s="5"/>
    </row>
    <row r="1003" spans="3:19" ht="15.75" customHeight="1">
      <c r="C1003" s="1"/>
      <c r="I1003" s="2"/>
      <c r="J1003" s="40"/>
      <c r="K1003" s="40"/>
      <c r="L1003" s="40"/>
      <c r="M1003" s="3"/>
      <c r="N1003" s="3"/>
      <c r="O1003" s="3"/>
      <c r="Q1003" s="4"/>
      <c r="R1003" s="5"/>
      <c r="S1003" s="5"/>
    </row>
    <row r="1004" spans="3:19" ht="15.75" customHeight="1">
      <c r="C1004" s="1"/>
      <c r="I1004" s="2"/>
      <c r="J1004" s="40"/>
      <c r="K1004" s="40"/>
      <c r="L1004" s="40"/>
      <c r="M1004" s="3"/>
      <c r="N1004" s="3"/>
      <c r="O1004" s="3"/>
      <c r="Q1004" s="4"/>
      <c r="R1004" s="5"/>
      <c r="S1004" s="5"/>
    </row>
    <row r="1005" spans="3:19" ht="15.75" customHeight="1">
      <c r="C1005" s="1"/>
      <c r="I1005" s="2"/>
      <c r="J1005" s="40"/>
      <c r="K1005" s="40"/>
      <c r="L1005" s="40"/>
      <c r="M1005" s="3"/>
      <c r="N1005" s="3"/>
      <c r="O1005" s="3"/>
      <c r="Q1005" s="4"/>
      <c r="R1005" s="5"/>
      <c r="S1005" s="5"/>
    </row>
    <row r="1006" spans="3:19" ht="15.75" customHeight="1">
      <c r="C1006" s="1"/>
      <c r="I1006" s="2"/>
      <c r="J1006" s="40"/>
      <c r="K1006" s="40"/>
      <c r="L1006" s="40"/>
      <c r="M1006" s="3"/>
      <c r="N1006" s="3"/>
      <c r="O1006" s="3"/>
      <c r="Q1006" s="4"/>
      <c r="R1006" s="5"/>
      <c r="S1006" s="5"/>
    </row>
  </sheetData>
  <sheetProtection password="CC27" sheet="1" objects="1" scenarios="1"/>
  <mergeCells count="6">
    <mergeCell ref="D18:K18"/>
    <mergeCell ref="B1:S1"/>
    <mergeCell ref="M2:O2"/>
    <mergeCell ref="Q2:S2"/>
    <mergeCell ref="J3:L3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9"/>
  <sheetViews>
    <sheetView workbookViewId="0">
      <selection activeCell="E10" sqref="E10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5.375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41"/>
      <c r="B1" s="478" t="s">
        <v>56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77"/>
      <c r="C2" s="77"/>
      <c r="D2" s="77"/>
      <c r="E2" s="77"/>
      <c r="F2" s="194"/>
      <c r="G2" s="77"/>
      <c r="H2" s="77"/>
      <c r="I2" s="77"/>
      <c r="J2" s="77"/>
      <c r="K2" s="77"/>
      <c r="L2" s="78"/>
      <c r="M2" s="480" t="s">
        <v>0</v>
      </c>
      <c r="N2" s="481"/>
      <c r="O2" s="482"/>
      <c r="P2" s="42" t="s">
        <v>32</v>
      </c>
      <c r="Q2" s="483" t="s">
        <v>33</v>
      </c>
      <c r="R2" s="481"/>
      <c r="S2" s="48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81" t="s">
        <v>34</v>
      </c>
      <c r="C3" s="80" t="s">
        <v>35</v>
      </c>
      <c r="D3" s="105" t="s">
        <v>36</v>
      </c>
      <c r="E3" s="81" t="s">
        <v>37</v>
      </c>
      <c r="F3" s="81" t="s">
        <v>38</v>
      </c>
      <c r="G3" s="82" t="s">
        <v>39</v>
      </c>
      <c r="H3" s="81" t="s">
        <v>40</v>
      </c>
      <c r="I3" s="81" t="s">
        <v>41</v>
      </c>
      <c r="J3" s="484" t="s">
        <v>42</v>
      </c>
      <c r="K3" s="474"/>
      <c r="L3" s="475"/>
      <c r="M3" s="83" t="s">
        <v>4</v>
      </c>
      <c r="N3" s="84" t="s">
        <v>5</v>
      </c>
      <c r="O3" s="85" t="s">
        <v>6</v>
      </c>
      <c r="P3" s="85" t="s">
        <v>4</v>
      </c>
      <c r="Q3" s="106" t="s">
        <v>8</v>
      </c>
      <c r="R3" s="86" t="s">
        <v>9</v>
      </c>
      <c r="S3" s="87" t="s">
        <v>44</v>
      </c>
    </row>
    <row r="4" spans="1:37" ht="34.5" customHeight="1">
      <c r="A4" s="10"/>
      <c r="B4" s="107">
        <v>1</v>
      </c>
      <c r="C4" s="108" t="s">
        <v>158</v>
      </c>
      <c r="D4" s="385" t="s">
        <v>164</v>
      </c>
      <c r="E4" s="386" t="s">
        <v>248</v>
      </c>
      <c r="F4" s="387" t="s">
        <v>165</v>
      </c>
      <c r="G4" s="388" t="s">
        <v>166</v>
      </c>
      <c r="H4" s="110" t="str">
        <f t="shared" ref="H4:H9" si="0">UPPER(G4)</f>
        <v>PARTICIPAÇÃO. NO 18 TH CONGRESS OF THE REHABILITATION AND TRANSPLANT ASSOCIATION ( CIRTA XVIII )</v>
      </c>
      <c r="I4" s="111" t="s">
        <v>176</v>
      </c>
      <c r="J4" s="332" t="s">
        <v>177</v>
      </c>
      <c r="K4" s="394">
        <v>28</v>
      </c>
      <c r="L4" s="395">
        <v>5</v>
      </c>
      <c r="M4" s="333">
        <v>0</v>
      </c>
      <c r="N4" s="333">
        <v>0</v>
      </c>
      <c r="O4" s="398">
        <v>0</v>
      </c>
      <c r="P4" s="115"/>
      <c r="Q4" s="348">
        <v>7696.08</v>
      </c>
      <c r="R4" s="349">
        <v>6348.16</v>
      </c>
      <c r="S4" s="117">
        <f t="shared" ref="S4:S9" si="1">M4+N4+O4+P4+Q4+R4</f>
        <v>14044.24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379" customFormat="1" ht="38.25" customHeight="1">
      <c r="A5" s="10"/>
      <c r="B5" s="179">
        <v>2</v>
      </c>
      <c r="C5" s="97" t="s">
        <v>159</v>
      </c>
      <c r="D5" s="381" t="s">
        <v>167</v>
      </c>
      <c r="E5" s="382" t="s">
        <v>249</v>
      </c>
      <c r="F5" s="383" t="s">
        <v>165</v>
      </c>
      <c r="G5" s="380" t="s">
        <v>166</v>
      </c>
      <c r="H5" s="46" t="str">
        <f t="shared" si="0"/>
        <v>PARTICIPAÇÃO. NO 18 TH CONGRESS OF THE REHABILITATION AND TRANSPLANT ASSOCIATION ( CIRTA XVIII )</v>
      </c>
      <c r="I5" s="101" t="s">
        <v>176</v>
      </c>
      <c r="J5" s="305" t="s">
        <v>177</v>
      </c>
      <c r="K5" s="370">
        <v>29</v>
      </c>
      <c r="L5" s="371">
        <v>5</v>
      </c>
      <c r="M5" s="326">
        <v>0</v>
      </c>
      <c r="N5" s="326">
        <v>0</v>
      </c>
      <c r="O5" s="399">
        <v>0</v>
      </c>
      <c r="P5" s="241"/>
      <c r="Q5" s="327">
        <v>0</v>
      </c>
      <c r="R5" s="307">
        <v>6348.16</v>
      </c>
      <c r="S5" s="119">
        <f t="shared" si="1"/>
        <v>6348.16</v>
      </c>
      <c r="T5" s="372" t="s">
        <v>157</v>
      </c>
      <c r="U5" s="372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79" customFormat="1" ht="36.75" customHeight="1">
      <c r="A6" s="10"/>
      <c r="B6" s="179">
        <v>3</v>
      </c>
      <c r="C6" s="97" t="s">
        <v>160</v>
      </c>
      <c r="D6" s="381" t="s">
        <v>168</v>
      </c>
      <c r="E6" s="382" t="s">
        <v>250</v>
      </c>
      <c r="F6" s="383" t="s">
        <v>169</v>
      </c>
      <c r="G6" s="380" t="s">
        <v>166</v>
      </c>
      <c r="H6" s="46" t="str">
        <f t="shared" si="0"/>
        <v>PARTICIPAÇÃO. NO 18 TH CONGRESS OF THE REHABILITATION AND TRANSPLANT ASSOCIATION ( CIRTA XVIII )</v>
      </c>
      <c r="I6" s="101" t="s">
        <v>176</v>
      </c>
      <c r="J6" s="305" t="s">
        <v>177</v>
      </c>
      <c r="K6" s="370">
        <v>28</v>
      </c>
      <c r="L6" s="371">
        <v>5</v>
      </c>
      <c r="M6" s="326">
        <v>0</v>
      </c>
      <c r="N6" s="326">
        <v>0</v>
      </c>
      <c r="O6" s="399">
        <v>0</v>
      </c>
      <c r="P6" s="241"/>
      <c r="Q6" s="327">
        <v>7696.08</v>
      </c>
      <c r="R6" s="307">
        <v>6348.16</v>
      </c>
      <c r="S6" s="119">
        <f t="shared" si="1"/>
        <v>14044.24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79" customFormat="1" ht="59.25" customHeight="1">
      <c r="A7" s="10"/>
      <c r="B7" s="179">
        <v>4</v>
      </c>
      <c r="C7" s="97" t="s">
        <v>161</v>
      </c>
      <c r="D7" s="381" t="s">
        <v>170</v>
      </c>
      <c r="E7" s="384" t="s">
        <v>251</v>
      </c>
      <c r="F7" s="383" t="s">
        <v>171</v>
      </c>
      <c r="G7" s="150" t="s">
        <v>172</v>
      </c>
      <c r="H7" s="46" t="str">
        <f t="shared" si="0"/>
        <v>CAPACITAÇÃO DISPOSITIVO CARDÍACO HEARTMATE PARA PROFISSIONAIS DE SAÚDE DO HOSPITAL IVAN GOULART (SÃO BORJA/RS), DISPOSITIVO INSTALADO EM 23/03/2023 NO PACIENTE RAMP (PRONT. 6168926).</v>
      </c>
      <c r="I7" s="101" t="s">
        <v>178</v>
      </c>
      <c r="J7" s="393">
        <v>45078</v>
      </c>
      <c r="K7" s="370">
        <v>29</v>
      </c>
      <c r="L7" s="371">
        <v>30</v>
      </c>
      <c r="M7" s="326">
        <v>709.6</v>
      </c>
      <c r="N7" s="326">
        <v>57.9</v>
      </c>
      <c r="O7" s="399">
        <v>0</v>
      </c>
      <c r="P7" s="241"/>
      <c r="Q7" s="327">
        <v>0</v>
      </c>
      <c r="R7" s="307">
        <v>0</v>
      </c>
      <c r="S7" s="119">
        <f t="shared" si="1"/>
        <v>767.5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58.5" customHeight="1">
      <c r="A8" s="10"/>
      <c r="B8" s="118">
        <v>5</v>
      </c>
      <c r="C8" s="97" t="s">
        <v>162</v>
      </c>
      <c r="D8" s="381" t="s">
        <v>173</v>
      </c>
      <c r="E8" s="384" t="s">
        <v>252</v>
      </c>
      <c r="F8" s="383" t="s">
        <v>171</v>
      </c>
      <c r="G8" s="380" t="s">
        <v>172</v>
      </c>
      <c r="H8" s="46" t="str">
        <f t="shared" si="0"/>
        <v>CAPACITAÇÃO DISPOSITIVO CARDÍACO HEARTMATE PARA PROFISSIONAIS DE SAÚDE DO HOSPITAL IVAN GOULART (SÃO BORJA/RS), DISPOSITIVO INSTALADO EM 23/03/2023 NO PACIENTE RAMP (PRONT. 6168926).</v>
      </c>
      <c r="I8" s="101" t="s">
        <v>178</v>
      </c>
      <c r="J8" s="393">
        <v>45078</v>
      </c>
      <c r="K8" s="370">
        <v>29</v>
      </c>
      <c r="L8" s="371">
        <v>30</v>
      </c>
      <c r="M8" s="326">
        <v>734.58</v>
      </c>
      <c r="N8" s="326">
        <v>43.29</v>
      </c>
      <c r="O8" s="400">
        <v>0</v>
      </c>
      <c r="P8" s="50"/>
      <c r="Q8" s="327">
        <v>0</v>
      </c>
      <c r="R8" s="307">
        <v>0</v>
      </c>
      <c r="S8" s="119">
        <f t="shared" si="1"/>
        <v>777.87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58.5" customHeight="1" thickBot="1">
      <c r="A9" s="10"/>
      <c r="B9" s="176">
        <v>6</v>
      </c>
      <c r="C9" s="193" t="s">
        <v>163</v>
      </c>
      <c r="D9" s="392" t="s">
        <v>174</v>
      </c>
      <c r="E9" s="389" t="s">
        <v>253</v>
      </c>
      <c r="F9" s="390" t="s">
        <v>175</v>
      </c>
      <c r="G9" s="391" t="s">
        <v>172</v>
      </c>
      <c r="H9" s="123" t="str">
        <f t="shared" si="0"/>
        <v>CAPACITAÇÃO DISPOSITIVO CARDÍACO HEARTMATE PARA PROFISSIONAIS DE SAÚDE DO HOSPITAL IVAN GOULART (SÃO BORJA/RS), DISPOSITIVO INSTALADO EM 23/03/2023 NO PACIENTE RAMP (PRONT. 6168926).</v>
      </c>
      <c r="I9" s="124" t="s">
        <v>178</v>
      </c>
      <c r="J9" s="396">
        <v>45078</v>
      </c>
      <c r="K9" s="377">
        <v>29</v>
      </c>
      <c r="L9" s="378">
        <v>30</v>
      </c>
      <c r="M9" s="339">
        <v>646.25</v>
      </c>
      <c r="N9" s="339">
        <v>48.21</v>
      </c>
      <c r="O9" s="401">
        <v>0</v>
      </c>
      <c r="P9" s="153"/>
      <c r="Q9" s="341">
        <v>0</v>
      </c>
      <c r="R9" s="342">
        <v>0</v>
      </c>
      <c r="S9" s="132">
        <f t="shared" si="1"/>
        <v>694.46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15.75" customHeight="1" thickBot="1">
      <c r="A10" s="10"/>
      <c r="B10" s="14"/>
      <c r="C10" s="15"/>
      <c r="D10" s="16"/>
      <c r="E10" s="16"/>
      <c r="F10" s="16"/>
      <c r="G10" s="16"/>
      <c r="H10" s="16"/>
      <c r="I10" s="16"/>
      <c r="J10" s="56"/>
      <c r="K10" s="57"/>
      <c r="L10" s="57"/>
      <c r="M10" s="17"/>
      <c r="N10" s="17"/>
      <c r="O10" s="17"/>
      <c r="P10" s="11"/>
      <c r="Q10" s="18"/>
      <c r="R10" s="19"/>
      <c r="S10" s="2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15.75" customHeight="1">
      <c r="A11" s="21"/>
      <c r="B11" s="58" t="s">
        <v>13</v>
      </c>
      <c r="C11" s="60"/>
      <c r="D11" s="59" t="s">
        <v>45</v>
      </c>
      <c r="E11" s="60"/>
      <c r="F11" s="21"/>
      <c r="G11" s="21"/>
      <c r="H11" s="21"/>
      <c r="I11" s="61"/>
      <c r="J11" s="21"/>
      <c r="K11" s="14"/>
      <c r="L11" s="21"/>
      <c r="M11" s="73">
        <f t="shared" ref="M11:R11" si="2">SUM(M4:M9)</f>
        <v>2090.4300000000003</v>
      </c>
      <c r="N11" s="73">
        <f t="shared" si="2"/>
        <v>149.4</v>
      </c>
      <c r="O11" s="73">
        <f t="shared" si="2"/>
        <v>0</v>
      </c>
      <c r="P11" s="76">
        <f t="shared" si="2"/>
        <v>0</v>
      </c>
      <c r="Q11" s="64">
        <f t="shared" si="2"/>
        <v>15392.16</v>
      </c>
      <c r="R11" s="65">
        <f t="shared" si="2"/>
        <v>19044.48</v>
      </c>
      <c r="S11" s="23">
        <f>SUM(S4:S9)+P12</f>
        <v>36676.47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5.75" customHeight="1">
      <c r="A12" s="24"/>
      <c r="B12" s="24"/>
      <c r="C12" s="60"/>
      <c r="D12" s="476"/>
      <c r="E12" s="472"/>
      <c r="F12" s="472"/>
      <c r="G12" s="472"/>
      <c r="H12" s="472"/>
      <c r="I12" s="472"/>
      <c r="J12" s="472"/>
      <c r="K12" s="472"/>
      <c r="L12" s="24"/>
      <c r="M12" s="25"/>
      <c r="N12" s="25"/>
      <c r="O12" s="66" t="s">
        <v>13</v>
      </c>
      <c r="P12" s="11">
        <f>P11*1%</f>
        <v>0</v>
      </c>
      <c r="Q12" s="24"/>
      <c r="R12" s="24"/>
      <c r="S12" s="2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15.75" customHeight="1">
      <c r="A13" s="24"/>
      <c r="B13" s="24"/>
      <c r="C13" s="24"/>
      <c r="D13" s="24"/>
      <c r="E13" s="24"/>
      <c r="F13" s="24"/>
      <c r="G13" s="24"/>
      <c r="H13" s="24"/>
      <c r="I13" s="27"/>
      <c r="J13" s="24"/>
      <c r="K13" s="24"/>
      <c r="L13" s="24"/>
      <c r="M13" s="25"/>
      <c r="N13" s="25"/>
      <c r="O13" s="25"/>
      <c r="P13" s="67">
        <f>P11+P12</f>
        <v>0</v>
      </c>
      <c r="Q13" s="28"/>
      <c r="R13" s="29"/>
      <c r="S13" s="68" t="s">
        <v>46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15.75" customHeight="1">
      <c r="A14" s="24"/>
      <c r="B14" s="24"/>
      <c r="C14" s="60"/>
      <c r="D14" s="477"/>
      <c r="E14" s="472"/>
      <c r="F14" s="472"/>
      <c r="G14" s="472"/>
      <c r="H14" s="472"/>
      <c r="I14" s="472"/>
      <c r="J14" s="472"/>
      <c r="K14" s="472"/>
      <c r="L14" s="24"/>
      <c r="M14" s="25"/>
      <c r="N14" s="25"/>
      <c r="O14" s="25"/>
      <c r="P14" s="11"/>
      <c r="Q14" s="4" t="s">
        <v>25</v>
      </c>
      <c r="R14" s="69">
        <f>M11+N11+O11+P13+Q11+R11</f>
        <v>36676.47</v>
      </c>
      <c r="S14" s="34">
        <f>S11-R14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15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66" t="s">
        <v>13</v>
      </c>
      <c r="P15" s="11" t="s">
        <v>47</v>
      </c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</row>
    <row r="21" spans="3:19" ht="15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</row>
    <row r="22" spans="3:19" ht="15.75" customHeight="1">
      <c r="C22" s="1"/>
      <c r="I22" s="2"/>
      <c r="J22" s="40"/>
      <c r="K22" s="40"/>
      <c r="L22" s="40"/>
      <c r="M22" s="3"/>
      <c r="N22" s="3"/>
      <c r="O22" s="3"/>
      <c r="P22" s="11"/>
    </row>
    <row r="23" spans="3:19" ht="15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</row>
    <row r="24" spans="3:19" ht="15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70"/>
    </row>
    <row r="25" spans="3:19" ht="15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15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15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24"/>
    </row>
    <row r="28" spans="3:19" ht="15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</row>
    <row r="37" spans="3:15" ht="15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</row>
    <row r="38" spans="3:15" ht="15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15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15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15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15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15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15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15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15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15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15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15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15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15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15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15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15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15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15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15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15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15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15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15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15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15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15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15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15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15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15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15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15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15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15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15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15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15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15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15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15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15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15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15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15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15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15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15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15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15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15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15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15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15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/>
    <row r="111" spans="3:19" ht="15.75" customHeight="1"/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</sheetData>
  <sheetProtection password="CC27" sheet="1" objects="1" scenarios="1"/>
  <mergeCells count="6">
    <mergeCell ref="D14:K14"/>
    <mergeCell ref="B1:S1"/>
    <mergeCell ref="M2:O2"/>
    <mergeCell ref="Q2:S2"/>
    <mergeCell ref="J3:L3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E9" sqref="E9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 thickBot="1">
      <c r="A1" s="41"/>
      <c r="B1" s="478" t="s">
        <v>55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1"/>
      <c r="B2" s="133"/>
      <c r="C2" s="133"/>
      <c r="D2" s="133"/>
      <c r="E2" s="133"/>
      <c r="F2" s="195"/>
      <c r="G2" s="133"/>
      <c r="H2" s="133"/>
      <c r="I2" s="133"/>
      <c r="J2" s="133"/>
      <c r="K2" s="133"/>
      <c r="L2" s="89"/>
      <c r="M2" s="486" t="s">
        <v>0</v>
      </c>
      <c r="N2" s="474"/>
      <c r="O2" s="475"/>
      <c r="P2" s="134" t="s">
        <v>32</v>
      </c>
      <c r="Q2" s="487" t="s">
        <v>33</v>
      </c>
      <c r="R2" s="474"/>
      <c r="S2" s="47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1.5" customHeight="1" thickBot="1">
      <c r="B3" s="259" t="s">
        <v>34</v>
      </c>
      <c r="C3" s="260" t="s">
        <v>35</v>
      </c>
      <c r="D3" s="409" t="s">
        <v>36</v>
      </c>
      <c r="E3" s="262" t="s">
        <v>37</v>
      </c>
      <c r="F3" s="262" t="s">
        <v>38</v>
      </c>
      <c r="G3" s="263" t="s">
        <v>39</v>
      </c>
      <c r="H3" s="262" t="s">
        <v>40</v>
      </c>
      <c r="I3" s="262" t="s">
        <v>41</v>
      </c>
      <c r="J3" s="491" t="s">
        <v>42</v>
      </c>
      <c r="K3" s="492"/>
      <c r="L3" s="493"/>
      <c r="M3" s="264" t="s">
        <v>4</v>
      </c>
      <c r="N3" s="265" t="s">
        <v>5</v>
      </c>
      <c r="O3" s="266" t="s">
        <v>6</v>
      </c>
      <c r="P3" s="266" t="s">
        <v>4</v>
      </c>
      <c r="Q3" s="267" t="s">
        <v>8</v>
      </c>
      <c r="R3" s="268" t="s">
        <v>9</v>
      </c>
      <c r="S3" s="269" t="s">
        <v>44</v>
      </c>
    </row>
    <row r="4" spans="1:37" ht="37.5" customHeight="1">
      <c r="A4" s="10"/>
      <c r="B4" s="107">
        <v>1</v>
      </c>
      <c r="C4" s="108" t="s">
        <v>184</v>
      </c>
      <c r="D4" s="385" t="s">
        <v>185</v>
      </c>
      <c r="E4" s="386" t="s">
        <v>254</v>
      </c>
      <c r="F4" s="109" t="s">
        <v>186</v>
      </c>
      <c r="G4" s="167" t="s">
        <v>187</v>
      </c>
      <c r="H4" s="277" t="str">
        <f t="shared" ref="H4:H13" si="0">UPPER(G4)</f>
        <v>PARTICIPAÇÃO NO GAPH - GESTÃO DE ALTA PERFORMANCE HOSPITALAR - PROJETO TRANSFORMAÇÃO LAEN NOS HOSPITAIS.</v>
      </c>
      <c r="I4" s="111" t="s">
        <v>127</v>
      </c>
      <c r="J4" s="410">
        <v>45108</v>
      </c>
      <c r="K4" s="109">
        <v>5</v>
      </c>
      <c r="L4" s="113">
        <v>7</v>
      </c>
      <c r="M4" s="333">
        <v>59.91</v>
      </c>
      <c r="N4" s="333">
        <v>162</v>
      </c>
      <c r="O4" s="114"/>
      <c r="P4" s="210"/>
      <c r="Q4" s="348">
        <v>0</v>
      </c>
      <c r="R4" s="411">
        <v>0</v>
      </c>
      <c r="S4" s="279">
        <f t="shared" ref="S4:S13" si="1">M4+N4+O4+P4+Q4+R4</f>
        <v>221.91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397" customFormat="1" ht="36" customHeight="1">
      <c r="A5" s="10"/>
      <c r="B5" s="179">
        <v>2</v>
      </c>
      <c r="C5" s="97" t="s">
        <v>179</v>
      </c>
      <c r="D5" s="99" t="s">
        <v>188</v>
      </c>
      <c r="E5" s="412" t="s">
        <v>255</v>
      </c>
      <c r="F5" s="99" t="s">
        <v>189</v>
      </c>
      <c r="G5" s="380" t="s">
        <v>187</v>
      </c>
      <c r="H5" s="182" t="str">
        <f t="shared" si="0"/>
        <v>PARTICIPAÇÃO NO GAPH - GESTÃO DE ALTA PERFORMANCE HOSPITALAR - PROJETO TRANSFORMAÇÃO LAEN NOS HOSPITAIS.</v>
      </c>
      <c r="I5" s="101" t="s">
        <v>127</v>
      </c>
      <c r="J5" s="393">
        <v>45108</v>
      </c>
      <c r="K5" s="99">
        <v>5</v>
      </c>
      <c r="L5" s="103">
        <v>7</v>
      </c>
      <c r="M5" s="326">
        <v>110.83</v>
      </c>
      <c r="N5" s="326">
        <v>171</v>
      </c>
      <c r="O5" s="43"/>
      <c r="P5" s="209"/>
      <c r="Q5" s="327">
        <v>0</v>
      </c>
      <c r="R5" s="407">
        <v>0</v>
      </c>
      <c r="S5" s="180">
        <f t="shared" si="1"/>
        <v>281.83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397" customFormat="1" ht="27" customHeight="1">
      <c r="A6" s="10"/>
      <c r="B6" s="179">
        <v>3</v>
      </c>
      <c r="C6" s="97" t="s">
        <v>180</v>
      </c>
      <c r="D6" s="381" t="s">
        <v>118</v>
      </c>
      <c r="E6" s="382" t="s">
        <v>238</v>
      </c>
      <c r="F6" s="99" t="s">
        <v>119</v>
      </c>
      <c r="G6" s="402" t="s">
        <v>190</v>
      </c>
      <c r="H6" s="182" t="str">
        <f t="shared" si="0"/>
        <v>ASSEMBLEIA GERAL EXTRAORDINÁRIA Nº 031</v>
      </c>
      <c r="I6" s="101" t="s">
        <v>126</v>
      </c>
      <c r="J6" s="102">
        <v>45108</v>
      </c>
      <c r="K6" s="99">
        <v>27</v>
      </c>
      <c r="L6" s="103">
        <v>27</v>
      </c>
      <c r="M6" s="326">
        <v>122.09</v>
      </c>
      <c r="N6" s="326">
        <v>45</v>
      </c>
      <c r="O6" s="43"/>
      <c r="P6" s="209"/>
      <c r="Q6" s="406">
        <f>1986.27+831.73</f>
        <v>2818</v>
      </c>
      <c r="R6" s="407">
        <v>0</v>
      </c>
      <c r="S6" s="180">
        <f t="shared" si="1"/>
        <v>2985.09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397" customFormat="1" ht="36.75" customHeight="1">
      <c r="A7" s="10"/>
      <c r="B7" s="179">
        <v>4</v>
      </c>
      <c r="C7" s="413" t="s">
        <v>181</v>
      </c>
      <c r="D7" s="99" t="s">
        <v>191</v>
      </c>
      <c r="E7" s="403" t="s">
        <v>256</v>
      </c>
      <c r="F7" s="404" t="s">
        <v>192</v>
      </c>
      <c r="G7" s="380" t="s">
        <v>187</v>
      </c>
      <c r="H7" s="182" t="str">
        <f t="shared" si="0"/>
        <v>PARTICIPAÇÃO NO GAPH - GESTÃO DE ALTA PERFORMANCE HOSPITALAR - PROJETO TRANSFORMAÇÃO LAEN NOS HOSPITAIS.</v>
      </c>
      <c r="I7" s="101" t="s">
        <v>127</v>
      </c>
      <c r="J7" s="393">
        <v>45108</v>
      </c>
      <c r="K7" s="368">
        <v>5</v>
      </c>
      <c r="L7" s="369">
        <v>7</v>
      </c>
      <c r="M7" s="326">
        <v>69.930000000000007</v>
      </c>
      <c r="N7" s="326">
        <v>162</v>
      </c>
      <c r="O7" s="43"/>
      <c r="P7" s="209"/>
      <c r="Q7" s="406">
        <v>0</v>
      </c>
      <c r="R7" s="407">
        <v>0</v>
      </c>
      <c r="S7" s="180">
        <f t="shared" si="1"/>
        <v>231.93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397" customFormat="1" ht="27" customHeight="1">
      <c r="A8" s="10"/>
      <c r="B8" s="179">
        <v>5</v>
      </c>
      <c r="C8" s="97" t="s">
        <v>182</v>
      </c>
      <c r="D8" s="381" t="s">
        <v>193</v>
      </c>
      <c r="E8" s="382" t="s">
        <v>257</v>
      </c>
      <c r="F8" s="101" t="s">
        <v>194</v>
      </c>
      <c r="G8" s="380" t="s">
        <v>195</v>
      </c>
      <c r="H8" s="182" t="str">
        <f t="shared" si="0"/>
        <v>1º SIMPÓSIO INTERNACIONAL DE TRANSFORMAÇÃO DIGITAL NO SUS.</v>
      </c>
      <c r="I8" s="101" t="s">
        <v>127</v>
      </c>
      <c r="J8" s="305">
        <v>45145</v>
      </c>
      <c r="K8" s="99">
        <v>7</v>
      </c>
      <c r="L8" s="103">
        <v>8</v>
      </c>
      <c r="M8" s="326">
        <v>0</v>
      </c>
      <c r="N8" s="326">
        <v>0</v>
      </c>
      <c r="O8" s="43"/>
      <c r="P8" s="209"/>
      <c r="Q8" s="406">
        <v>1666.56</v>
      </c>
      <c r="R8" s="407">
        <v>0</v>
      </c>
      <c r="S8" s="180">
        <f t="shared" si="1"/>
        <v>1666.56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397" customFormat="1" ht="27" customHeight="1">
      <c r="A9" s="10"/>
      <c r="B9" s="179">
        <v>6</v>
      </c>
      <c r="C9" s="97" t="s">
        <v>182</v>
      </c>
      <c r="D9" s="99" t="s">
        <v>196</v>
      </c>
      <c r="E9" s="403" t="s">
        <v>258</v>
      </c>
      <c r="F9" s="99" t="s">
        <v>197</v>
      </c>
      <c r="G9" s="380" t="s">
        <v>195</v>
      </c>
      <c r="H9" s="182" t="str">
        <f t="shared" si="0"/>
        <v>1º SIMPÓSIO INTERNACIONAL DE TRANSFORMAÇÃO DIGITAL NO SUS.</v>
      </c>
      <c r="I9" s="101" t="s">
        <v>127</v>
      </c>
      <c r="J9" s="305">
        <v>45145</v>
      </c>
      <c r="K9" s="99">
        <v>7</v>
      </c>
      <c r="L9" s="103">
        <v>8</v>
      </c>
      <c r="M9" s="326">
        <v>0</v>
      </c>
      <c r="N9" s="326">
        <v>0</v>
      </c>
      <c r="O9" s="43"/>
      <c r="P9" s="209"/>
      <c r="Q9" s="406">
        <v>1666.56</v>
      </c>
      <c r="R9" s="407">
        <v>0</v>
      </c>
      <c r="S9" s="180">
        <f t="shared" si="1"/>
        <v>1666.56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397" customFormat="1" ht="37.5" customHeight="1">
      <c r="A10" s="10"/>
      <c r="B10" s="179">
        <v>7</v>
      </c>
      <c r="C10" s="97" t="s">
        <v>200</v>
      </c>
      <c r="D10" s="381" t="s">
        <v>77</v>
      </c>
      <c r="E10" s="382" t="s">
        <v>228</v>
      </c>
      <c r="F10" s="405" t="s">
        <v>198</v>
      </c>
      <c r="G10" s="404" t="s">
        <v>203</v>
      </c>
      <c r="H10" s="182" t="str">
        <f t="shared" si="0"/>
        <v>REUNIÃO - APRESENTAÇÃO DE PROJETO À BANCADA GAÚCHA - CÂMARA DOS DEPUTADOS (BRASÍLIA).</v>
      </c>
      <c r="I10" s="101" t="s">
        <v>205</v>
      </c>
      <c r="J10" s="102" t="s">
        <v>204</v>
      </c>
      <c r="K10" s="99">
        <v>31</v>
      </c>
      <c r="L10" s="103">
        <v>1</v>
      </c>
      <c r="M10" s="326">
        <v>0</v>
      </c>
      <c r="N10" s="326">
        <v>97</v>
      </c>
      <c r="O10" s="43"/>
      <c r="P10" s="209"/>
      <c r="Q10" s="406">
        <v>4226</v>
      </c>
      <c r="R10" s="418">
        <f>579.69+149.05</f>
        <v>728.74</v>
      </c>
      <c r="S10" s="180">
        <f t="shared" si="1"/>
        <v>5051.74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397" customFormat="1" ht="36.75" customHeight="1">
      <c r="A11" s="10"/>
      <c r="B11" s="179">
        <v>8</v>
      </c>
      <c r="C11" s="97" t="s">
        <v>201</v>
      </c>
      <c r="D11" s="381" t="s">
        <v>80</v>
      </c>
      <c r="E11" s="382" t="s">
        <v>229</v>
      </c>
      <c r="F11" s="405" t="s">
        <v>81</v>
      </c>
      <c r="G11" s="404" t="s">
        <v>203</v>
      </c>
      <c r="H11" s="182" t="str">
        <f t="shared" si="0"/>
        <v>REUNIÃO - APRESENTAÇÃO DE PROJETO À BANCADA GAÚCHA - CÂMARA DOS DEPUTADOS (BRASÍLIA).</v>
      </c>
      <c r="I11" s="101" t="s">
        <v>205</v>
      </c>
      <c r="J11" s="102" t="s">
        <v>204</v>
      </c>
      <c r="K11" s="99">
        <v>31</v>
      </c>
      <c r="L11" s="103">
        <v>1</v>
      </c>
      <c r="M11" s="326">
        <v>159.88999999999999</v>
      </c>
      <c r="N11" s="326">
        <v>97</v>
      </c>
      <c r="O11" s="43"/>
      <c r="P11" s="209"/>
      <c r="Q11" s="406">
        <v>4226</v>
      </c>
      <c r="R11" s="418">
        <f>579.69+138.6</f>
        <v>718.29000000000008</v>
      </c>
      <c r="S11" s="180">
        <f t="shared" si="1"/>
        <v>5201.18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397" customFormat="1" ht="35.25" customHeight="1">
      <c r="A12" s="10"/>
      <c r="B12" s="179">
        <v>9</v>
      </c>
      <c r="C12" s="97" t="s">
        <v>183</v>
      </c>
      <c r="D12" s="381" t="s">
        <v>199</v>
      </c>
      <c r="E12" s="382" t="s">
        <v>259</v>
      </c>
      <c r="F12" s="150" t="s">
        <v>202</v>
      </c>
      <c r="G12" s="404" t="s">
        <v>203</v>
      </c>
      <c r="H12" s="182" t="str">
        <f t="shared" si="0"/>
        <v>REUNIÃO - APRESENTAÇÃO DE PROJETO À BANCADA GAÚCHA - CÂMARA DOS DEPUTADOS (BRASÍLIA).</v>
      </c>
      <c r="I12" s="101" t="s">
        <v>205</v>
      </c>
      <c r="J12" s="102" t="s">
        <v>204</v>
      </c>
      <c r="K12" s="99">
        <v>31</v>
      </c>
      <c r="L12" s="103">
        <v>1</v>
      </c>
      <c r="M12" s="326">
        <v>80.56</v>
      </c>
      <c r="N12" s="326">
        <v>116.15</v>
      </c>
      <c r="O12" s="43"/>
      <c r="P12" s="209"/>
      <c r="Q12" s="406">
        <v>4226</v>
      </c>
      <c r="R12" s="418">
        <f>579.69+153.45</f>
        <v>733.1400000000001</v>
      </c>
      <c r="S12" s="180">
        <f t="shared" si="1"/>
        <v>5155.8500000000004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94" customFormat="1" ht="35.25" customHeight="1" thickBot="1">
      <c r="A13" s="10"/>
      <c r="B13" s="286">
        <v>10</v>
      </c>
      <c r="C13" s="193"/>
      <c r="D13" s="126" t="s">
        <v>206</v>
      </c>
      <c r="E13" s="414" t="s">
        <v>260</v>
      </c>
      <c r="F13" s="390" t="s">
        <v>207</v>
      </c>
      <c r="G13" s="391" t="s">
        <v>187</v>
      </c>
      <c r="H13" s="281" t="str">
        <f t="shared" si="0"/>
        <v>PARTICIPAÇÃO NO GAPH - GESTÃO DE ALTA PERFORMANCE HOSPITALAR - PROJETO TRANSFORMAÇÃO LAEN NOS HOSPITAIS.</v>
      </c>
      <c r="I13" s="124" t="s">
        <v>127</v>
      </c>
      <c r="J13" s="396">
        <v>45108</v>
      </c>
      <c r="K13" s="415">
        <v>5</v>
      </c>
      <c r="L13" s="416">
        <v>7</v>
      </c>
      <c r="M13" s="339">
        <v>125.02</v>
      </c>
      <c r="N13" s="339">
        <v>162</v>
      </c>
      <c r="O13" s="295"/>
      <c r="P13" s="257"/>
      <c r="Q13" s="417">
        <v>0</v>
      </c>
      <c r="R13" s="131">
        <v>0</v>
      </c>
      <c r="S13" s="283">
        <f t="shared" si="1"/>
        <v>287.02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24.75" customHeight="1" thickBot="1">
      <c r="A14" s="10"/>
      <c r="B14" s="14"/>
      <c r="C14" s="15"/>
      <c r="D14" s="16"/>
      <c r="E14" s="16"/>
      <c r="F14" s="16"/>
      <c r="G14" s="16"/>
      <c r="H14" s="16"/>
      <c r="I14" s="16"/>
      <c r="J14" s="56"/>
      <c r="K14" s="57"/>
      <c r="L14" s="57"/>
      <c r="M14" s="17"/>
      <c r="N14" s="17"/>
      <c r="O14" s="17"/>
      <c r="P14" s="11"/>
      <c r="Q14" s="18"/>
      <c r="R14" s="19"/>
      <c r="S14" s="2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.75" customHeight="1">
      <c r="A15" s="21"/>
      <c r="B15" s="58" t="s">
        <v>13</v>
      </c>
      <c r="C15" s="21"/>
      <c r="D15" s="59" t="s">
        <v>45</v>
      </c>
      <c r="E15" s="88"/>
      <c r="F15" s="21"/>
      <c r="G15" s="21"/>
      <c r="H15" s="21"/>
      <c r="I15" s="61"/>
      <c r="J15" s="21"/>
      <c r="K15" s="14"/>
      <c r="L15" s="21"/>
      <c r="M15" s="73">
        <f t="shared" ref="M15:R15" si="2">SUM(M4:M13)</f>
        <v>728.23</v>
      </c>
      <c r="N15" s="73">
        <f t="shared" si="2"/>
        <v>1012.15</v>
      </c>
      <c r="O15" s="73">
        <f t="shared" si="2"/>
        <v>0</v>
      </c>
      <c r="P15" s="74">
        <f t="shared" si="2"/>
        <v>0</v>
      </c>
      <c r="Q15" s="64">
        <f t="shared" si="2"/>
        <v>18829.12</v>
      </c>
      <c r="R15" s="65">
        <f t="shared" si="2"/>
        <v>2180.17</v>
      </c>
      <c r="S15" s="23">
        <f>SUM(S4:S13)+P16</f>
        <v>22749.670000000002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4.75" customHeight="1" thickBot="1">
      <c r="A16" s="24"/>
      <c r="B16" s="24"/>
      <c r="C16" s="24"/>
      <c r="D16" s="476"/>
      <c r="E16" s="472"/>
      <c r="F16" s="472"/>
      <c r="G16" s="472"/>
      <c r="H16" s="472"/>
      <c r="I16" s="472"/>
      <c r="J16" s="472"/>
      <c r="K16" s="472"/>
      <c r="L16" s="24"/>
      <c r="M16" s="25"/>
      <c r="N16" s="25"/>
      <c r="O16" s="66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4.75" customHeight="1" thickBot="1">
      <c r="A17" s="24"/>
      <c r="B17" s="24"/>
      <c r="C17" s="24"/>
      <c r="D17" s="24"/>
      <c r="E17" s="24"/>
      <c r="F17" s="24"/>
      <c r="G17" s="24"/>
      <c r="H17" s="256"/>
      <c r="I17" s="27"/>
      <c r="J17" s="24"/>
      <c r="K17" s="24"/>
      <c r="L17" s="24"/>
      <c r="M17" s="25"/>
      <c r="N17" s="25"/>
      <c r="O17" s="25"/>
      <c r="P17" s="67">
        <f>P15+P16</f>
        <v>0</v>
      </c>
      <c r="Q17" s="28"/>
      <c r="R17" s="29"/>
      <c r="S17" s="68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24.75" customHeight="1">
      <c r="A18" s="24"/>
      <c r="B18" s="24"/>
      <c r="C18" s="24"/>
      <c r="D18" s="477"/>
      <c r="E18" s="472"/>
      <c r="F18" s="472"/>
      <c r="G18" s="472"/>
      <c r="H18" s="472"/>
      <c r="I18" s="472"/>
      <c r="J18" s="472"/>
      <c r="K18" s="472"/>
      <c r="L18" s="24"/>
      <c r="M18" s="25"/>
      <c r="N18" s="25"/>
      <c r="O18" s="25"/>
      <c r="P18" s="11"/>
      <c r="Q18" s="4" t="s">
        <v>25</v>
      </c>
      <c r="R18" s="69">
        <f>M15+N15+O15+P17+Q15+R15</f>
        <v>22749.67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6" t="s">
        <v>13</v>
      </c>
      <c r="P19" s="11" t="s">
        <v>47</v>
      </c>
      <c r="Q19" s="4"/>
      <c r="R19" s="5"/>
      <c r="S19" s="5"/>
    </row>
    <row r="20" spans="1:37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24.75" customHeight="1">
      <c r="C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0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  <c r="Q30" s="4"/>
      <c r="R30" s="5"/>
      <c r="S30" s="5"/>
    </row>
    <row r="31" spans="1:37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  <c r="Q31" s="4"/>
      <c r="R31" s="5"/>
      <c r="S31" s="5"/>
    </row>
    <row r="32" spans="1:37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</sheetData>
  <sheetProtection algorithmName="SHA-512" hashValue="sOhlEna/30oPQlaJfYlZOJMapCPd6A6wSJfd24T18i0MQ5biWh3eXsfLo/hTnn2CF5bxVNxcq39QCAqcvEDb8A==" saltValue="aytKQ9lN0T+sALS+5SnoCQ==" spinCount="100000" sheet="1" objects="1" scenarios="1"/>
  <mergeCells count="6">
    <mergeCell ref="D18:K18"/>
    <mergeCell ref="B1:S1"/>
    <mergeCell ref="M2:O2"/>
    <mergeCell ref="Q2:S2"/>
    <mergeCell ref="J3:L3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topLeftCell="H1" workbookViewId="0">
      <selection activeCell="L14" sqref="L1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28.125" customWidth="1"/>
    <col min="5" max="5" width="22.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78" t="s">
        <v>57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133"/>
      <c r="C3" s="133"/>
      <c r="D3" s="133"/>
      <c r="E3" s="133"/>
      <c r="F3" s="194"/>
      <c r="G3" s="133"/>
      <c r="H3" s="133"/>
      <c r="I3" s="133"/>
      <c r="J3" s="133"/>
      <c r="K3" s="133"/>
      <c r="L3" s="89"/>
      <c r="M3" s="486" t="s">
        <v>0</v>
      </c>
      <c r="N3" s="474"/>
      <c r="O3" s="475"/>
      <c r="P3" s="134" t="s">
        <v>32</v>
      </c>
      <c r="Q3" s="487" t="s">
        <v>33</v>
      </c>
      <c r="R3" s="474"/>
      <c r="S3" s="47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196" t="s">
        <v>34</v>
      </c>
      <c r="C4" s="184" t="s">
        <v>35</v>
      </c>
      <c r="D4" s="185" t="s">
        <v>36</v>
      </c>
      <c r="E4" s="189" t="s">
        <v>37</v>
      </c>
      <c r="F4" s="185" t="s">
        <v>38</v>
      </c>
      <c r="G4" s="186" t="s">
        <v>39</v>
      </c>
      <c r="H4" s="185" t="s">
        <v>40</v>
      </c>
      <c r="I4" s="185" t="s">
        <v>41</v>
      </c>
      <c r="J4" s="494" t="s">
        <v>42</v>
      </c>
      <c r="K4" s="489"/>
      <c r="L4" s="495"/>
      <c r="M4" s="187" t="s">
        <v>4</v>
      </c>
      <c r="N4" s="188" t="s">
        <v>5</v>
      </c>
      <c r="O4" s="189" t="s">
        <v>6</v>
      </c>
      <c r="P4" s="189" t="s">
        <v>4</v>
      </c>
      <c r="Q4" s="190" t="s">
        <v>8</v>
      </c>
      <c r="R4" s="191" t="s">
        <v>9</v>
      </c>
      <c r="S4" s="192" t="s">
        <v>44</v>
      </c>
    </row>
    <row r="5" spans="1:37" ht="22.5" customHeight="1">
      <c r="A5" s="10"/>
      <c r="B5" s="107">
        <v>1</v>
      </c>
      <c r="C5" s="419" t="s">
        <v>208</v>
      </c>
      <c r="D5" s="385" t="s">
        <v>220</v>
      </c>
      <c r="E5" s="386" t="s">
        <v>261</v>
      </c>
      <c r="F5" s="111" t="s">
        <v>221</v>
      </c>
      <c r="G5" s="167" t="s">
        <v>222</v>
      </c>
      <c r="H5" s="181" t="str">
        <f t="shared" ref="H5:H10" si="0">UPPER(G5)</f>
        <v>REUNIÃO NO INCA</v>
      </c>
      <c r="I5" s="111" t="s">
        <v>223</v>
      </c>
      <c r="J5" s="332">
        <v>45139</v>
      </c>
      <c r="K5" s="109">
        <v>4</v>
      </c>
      <c r="L5" s="113">
        <v>4</v>
      </c>
      <c r="M5" s="333">
        <v>0</v>
      </c>
      <c r="N5" s="333">
        <v>0</v>
      </c>
      <c r="O5" s="445">
        <v>0</v>
      </c>
      <c r="P5" s="333"/>
      <c r="Q5" s="348">
        <v>0</v>
      </c>
      <c r="R5" s="349">
        <v>0</v>
      </c>
      <c r="S5" s="178">
        <f t="shared" ref="S5:S10" si="1">M5+N5+O5+P5+Q5+R5</f>
        <v>0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94" customFormat="1" ht="22.5" customHeight="1">
      <c r="A6" s="10"/>
      <c r="B6" s="179">
        <v>2</v>
      </c>
      <c r="C6" s="97" t="s">
        <v>209</v>
      </c>
      <c r="D6" s="99" t="s">
        <v>196</v>
      </c>
      <c r="E6" s="412" t="s">
        <v>258</v>
      </c>
      <c r="F6" s="99" t="s">
        <v>212</v>
      </c>
      <c r="G6" s="380" t="s">
        <v>213</v>
      </c>
      <c r="H6" s="182" t="str">
        <f t="shared" si="0"/>
        <v>PARTICIPAÇÃO NA REUNIÃO DA CÂMARA TÉCNICA DE INFORMAÇÃO E INFORMÁTICA EM SAÚDE DO CONSELHO NACIONAL DE SECRETÁRIOS DE SAÚDE (CONASS), PARA APRESENTAR A COMUNIDADE AGHUSE. </v>
      </c>
      <c r="I6" s="101" t="s">
        <v>224</v>
      </c>
      <c r="J6" s="305">
        <v>45170</v>
      </c>
      <c r="K6" s="99">
        <v>11</v>
      </c>
      <c r="L6" s="103">
        <v>12</v>
      </c>
      <c r="M6" s="326">
        <f>64.65+85</f>
        <v>149.65</v>
      </c>
      <c r="N6" s="326">
        <v>104.7</v>
      </c>
      <c r="O6" s="446">
        <v>0</v>
      </c>
      <c r="P6" s="326"/>
      <c r="Q6" s="327">
        <f>2032.73+1388.31</f>
        <v>3421.04</v>
      </c>
      <c r="R6" s="307">
        <f>631.67+119.9</f>
        <v>751.56999999999994</v>
      </c>
      <c r="S6" s="180">
        <f t="shared" si="1"/>
        <v>4426.96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94" customFormat="1" ht="22.5" customHeight="1">
      <c r="A7" s="10"/>
      <c r="B7" s="179">
        <v>3</v>
      </c>
      <c r="C7" s="97" t="s">
        <v>210</v>
      </c>
      <c r="D7" s="99" t="s">
        <v>214</v>
      </c>
      <c r="E7" s="403" t="s">
        <v>257</v>
      </c>
      <c r="F7" s="101" t="s">
        <v>215</v>
      </c>
      <c r="G7" s="380" t="s">
        <v>213</v>
      </c>
      <c r="H7" s="182" t="str">
        <f t="shared" si="0"/>
        <v>PARTICIPAÇÃO NA REUNIÃO DA CÂMARA TÉCNICA DE INFORMAÇÃO E INFORMÁTICA EM SAÚDE DO CONSELHO NACIONAL DE SECRETÁRIOS DE SAÚDE (CONASS), PARA APRESENTAR A COMUNIDADE AGHUSE. </v>
      </c>
      <c r="I7" s="101" t="s">
        <v>224</v>
      </c>
      <c r="J7" s="305">
        <v>45170</v>
      </c>
      <c r="K7" s="99">
        <v>11</v>
      </c>
      <c r="L7" s="103">
        <v>12</v>
      </c>
      <c r="M7" s="326">
        <v>0</v>
      </c>
      <c r="N7" s="326">
        <v>0</v>
      </c>
      <c r="O7" s="446">
        <v>0</v>
      </c>
      <c r="P7" s="326"/>
      <c r="Q7" s="327">
        <f>2032.73+1388.31</f>
        <v>3421.04</v>
      </c>
      <c r="R7" s="307">
        <f>631.67+107.8</f>
        <v>739.46999999999991</v>
      </c>
      <c r="S7" s="180">
        <f t="shared" si="1"/>
        <v>4160.51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08" customFormat="1" ht="22.5" customHeight="1">
      <c r="A8" s="10"/>
      <c r="B8" s="179">
        <v>4</v>
      </c>
      <c r="C8" s="97"/>
      <c r="D8" s="99" t="s">
        <v>196</v>
      </c>
      <c r="E8" s="412" t="s">
        <v>258</v>
      </c>
      <c r="F8" s="99" t="s">
        <v>212</v>
      </c>
      <c r="G8" s="150" t="s">
        <v>216</v>
      </c>
      <c r="H8" s="182" t="str">
        <f t="shared" si="0"/>
        <v>PARTICIPAÇÃO1º SIMPÓSIO INTERNACIONAL DE TRANSFORMAÇÃO DIGITAL NO SUS</v>
      </c>
      <c r="I8" s="101" t="s">
        <v>127</v>
      </c>
      <c r="J8" s="305">
        <v>45200</v>
      </c>
      <c r="K8" s="99">
        <v>2</v>
      </c>
      <c r="L8" s="103">
        <v>3</v>
      </c>
      <c r="M8" s="326">
        <f>139+85</f>
        <v>224</v>
      </c>
      <c r="N8" s="326">
        <v>239.22</v>
      </c>
      <c r="O8" s="446">
        <v>0</v>
      </c>
      <c r="P8" s="326"/>
      <c r="Q8" s="327">
        <v>1380.07</v>
      </c>
      <c r="R8" s="307">
        <f>583.8+102.3</f>
        <v>686.09999999999991</v>
      </c>
      <c r="S8" s="180">
        <f t="shared" si="1"/>
        <v>2529.39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94" customFormat="1" ht="26.25" customHeight="1">
      <c r="A9" s="10"/>
      <c r="B9" s="179">
        <v>5</v>
      </c>
      <c r="C9" s="97"/>
      <c r="D9" s="99" t="s">
        <v>214</v>
      </c>
      <c r="E9" s="403" t="s">
        <v>257</v>
      </c>
      <c r="F9" s="101" t="s">
        <v>215</v>
      </c>
      <c r="G9" s="380" t="s">
        <v>216</v>
      </c>
      <c r="H9" s="182" t="str">
        <f t="shared" si="0"/>
        <v>PARTICIPAÇÃO1º SIMPÓSIO INTERNACIONAL DE TRANSFORMAÇÃO DIGITAL NO SUS</v>
      </c>
      <c r="I9" s="101" t="s">
        <v>127</v>
      </c>
      <c r="J9" s="305">
        <v>45200</v>
      </c>
      <c r="K9" s="99">
        <v>2</v>
      </c>
      <c r="L9" s="103">
        <v>3</v>
      </c>
      <c r="M9" s="326">
        <v>108.61</v>
      </c>
      <c r="N9" s="326">
        <v>180.22</v>
      </c>
      <c r="O9" s="446">
        <v>0</v>
      </c>
      <c r="P9" s="326"/>
      <c r="Q9" s="327">
        <v>1380.07</v>
      </c>
      <c r="R9" s="307">
        <f>583.8+94.6</f>
        <v>678.4</v>
      </c>
      <c r="S9" s="180">
        <f t="shared" si="1"/>
        <v>2347.2999999999997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94" customFormat="1" ht="59.25" customHeight="1" thickBot="1">
      <c r="A10" s="10"/>
      <c r="B10" s="286">
        <v>6</v>
      </c>
      <c r="C10" s="193" t="s">
        <v>211</v>
      </c>
      <c r="D10" s="126" t="s">
        <v>217</v>
      </c>
      <c r="E10" s="414" t="s">
        <v>262</v>
      </c>
      <c r="F10" s="420" t="s">
        <v>218</v>
      </c>
      <c r="G10" s="391" t="s">
        <v>219</v>
      </c>
      <c r="H10" s="281" t="str">
        <f t="shared" si="0"/>
        <v>PARTICIPAÇÃO NO XXIV CONGRESSO LATINOAMERICANO E XV CONGRESSO IBEROAMERICANO DE GASTROENTEROLOGIA, HEPATOLOGIA Y NUTRICION PEDIÁTRICA LADPGHAN 2023</v>
      </c>
      <c r="I10" s="124" t="s">
        <v>225</v>
      </c>
      <c r="J10" s="338">
        <v>45200</v>
      </c>
      <c r="K10" s="126">
        <v>24</v>
      </c>
      <c r="L10" s="127">
        <v>28</v>
      </c>
      <c r="M10" s="339">
        <v>842.28</v>
      </c>
      <c r="N10" s="339">
        <v>427.84</v>
      </c>
      <c r="O10" s="447">
        <v>0</v>
      </c>
      <c r="P10" s="339"/>
      <c r="Q10" s="341">
        <f>1379.99+1364.8</f>
        <v>2744.79</v>
      </c>
      <c r="R10" s="342">
        <f>1195.52+34</f>
        <v>1229.52</v>
      </c>
      <c r="S10" s="283">
        <f t="shared" si="1"/>
        <v>5244.43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24.75" customHeight="1">
      <c r="A11" s="21"/>
      <c r="B11" s="21"/>
      <c r="C11" s="21"/>
      <c r="D11" s="21"/>
      <c r="E11" s="21"/>
      <c r="F11" s="21"/>
      <c r="G11" s="21"/>
      <c r="H11" s="21"/>
      <c r="I11" s="197"/>
      <c r="J11" s="198"/>
      <c r="K11" s="199"/>
      <c r="L11" s="200"/>
      <c r="M11" s="73">
        <f t="shared" ref="M11:R11" si="2">SUM(M5:M10)</f>
        <v>1324.54</v>
      </c>
      <c r="N11" s="73">
        <f t="shared" si="2"/>
        <v>951.98</v>
      </c>
      <c r="O11" s="73">
        <f t="shared" si="2"/>
        <v>0</v>
      </c>
      <c r="P11" s="76">
        <f t="shared" si="2"/>
        <v>0</v>
      </c>
      <c r="Q11" s="90">
        <f t="shared" si="2"/>
        <v>12347.009999999998</v>
      </c>
      <c r="R11" s="91">
        <f t="shared" si="2"/>
        <v>4085.06</v>
      </c>
      <c r="S11" s="92">
        <f>SUM(S5:S10)+P12</f>
        <v>18708.59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ht="19.5" customHeight="1" thickBot="1">
      <c r="A12" s="24"/>
      <c r="B12" s="24"/>
      <c r="C12" s="24"/>
      <c r="D12" s="476"/>
      <c r="E12" s="472"/>
      <c r="F12" s="472"/>
      <c r="G12" s="472"/>
      <c r="H12" s="472"/>
      <c r="I12" s="472"/>
      <c r="J12" s="472"/>
      <c r="K12" s="472"/>
      <c r="L12" s="24"/>
      <c r="M12" s="25"/>
      <c r="N12" s="25"/>
      <c r="O12" s="66" t="s">
        <v>13</v>
      </c>
      <c r="P12" s="11">
        <f>P11*1%</f>
        <v>0</v>
      </c>
      <c r="Q12" s="24"/>
      <c r="R12" s="24"/>
      <c r="S12" s="29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24.75" customHeight="1" thickBot="1">
      <c r="A13" s="24"/>
      <c r="B13" s="58" t="s">
        <v>13</v>
      </c>
      <c r="C13" s="21"/>
      <c r="D13" s="59" t="s">
        <v>45</v>
      </c>
      <c r="E13" s="60"/>
      <c r="F13" s="233"/>
      <c r="G13" s="60"/>
      <c r="H13" s="60"/>
      <c r="I13" s="27"/>
      <c r="J13" s="24"/>
      <c r="K13" s="24"/>
      <c r="L13" s="24"/>
      <c r="M13" s="25"/>
      <c r="N13" s="25"/>
      <c r="O13" s="25"/>
      <c r="P13" s="67">
        <f>P11+P12</f>
        <v>0</v>
      </c>
      <c r="Q13" s="28"/>
      <c r="R13" s="29"/>
      <c r="S13" s="68" t="s">
        <v>46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24.75" customHeight="1">
      <c r="A14" s="24"/>
      <c r="B14" s="24"/>
      <c r="C14" s="24"/>
      <c r="D14" s="477"/>
      <c r="E14" s="472"/>
      <c r="F14" s="472"/>
      <c r="G14" s="472"/>
      <c r="H14" s="472"/>
      <c r="I14" s="472"/>
      <c r="J14" s="472"/>
      <c r="K14" s="472"/>
      <c r="L14" s="24"/>
      <c r="M14" s="25"/>
      <c r="N14" s="25"/>
      <c r="O14" s="25"/>
      <c r="P14" s="11"/>
      <c r="Q14" s="4" t="s">
        <v>25</v>
      </c>
      <c r="R14" s="69">
        <f>M11+N11+O11+P13+Q11+R11</f>
        <v>18708.59</v>
      </c>
      <c r="S14" s="34">
        <f>S11-R14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66" t="s">
        <v>13</v>
      </c>
      <c r="P15" s="11" t="s">
        <v>47</v>
      </c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3:19" ht="24.75" customHeight="1">
      <c r="C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70"/>
      <c r="Q24" s="4"/>
      <c r="R24" s="5"/>
      <c r="S24" s="5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24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24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24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9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9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</sheetData>
  <sheetProtection algorithmName="SHA-512" hashValue="16lZlCNGOGB3siNafHT+APuOXwnc+sdnShvW6NqCTBn2FCpdL5iHSWJTEUhgwyIsByLBm6X5JMc5Kvs7X5EpuA==" saltValue="Ftws6SbPa4+qxiw+EZUcMg==" spinCount="100000" sheet="1" objects="1" scenarios="1"/>
  <mergeCells count="6">
    <mergeCell ref="D14:K14"/>
    <mergeCell ref="B2:S2"/>
    <mergeCell ref="M3:O3"/>
    <mergeCell ref="Q3:S3"/>
    <mergeCell ref="J4:L4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5"/>
  <sheetViews>
    <sheetView topLeftCell="F1" workbookViewId="0">
      <selection activeCell="F12" sqref="F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78" t="s">
        <v>58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6"/>
      <c r="C3" s="6"/>
      <c r="D3" s="6"/>
      <c r="E3" s="6" t="s">
        <v>263</v>
      </c>
      <c r="F3" s="194"/>
      <c r="G3" s="6"/>
      <c r="H3" s="6"/>
      <c r="I3" s="6"/>
      <c r="J3" s="6"/>
      <c r="K3" s="6"/>
      <c r="L3" s="89"/>
      <c r="M3" s="496" t="s">
        <v>0</v>
      </c>
      <c r="N3" s="474"/>
      <c r="O3" s="475"/>
      <c r="P3" s="212" t="s">
        <v>32</v>
      </c>
      <c r="Q3" s="497" t="s">
        <v>33</v>
      </c>
      <c r="R3" s="474"/>
      <c r="S3" s="47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01" t="s">
        <v>34</v>
      </c>
      <c r="C4" s="202" t="s">
        <v>35</v>
      </c>
      <c r="D4" s="203" t="s">
        <v>36</v>
      </c>
      <c r="E4" s="201" t="s">
        <v>37</v>
      </c>
      <c r="F4" s="201" t="s">
        <v>38</v>
      </c>
      <c r="G4" s="204" t="s">
        <v>39</v>
      </c>
      <c r="H4" s="201" t="s">
        <v>40</v>
      </c>
      <c r="I4" s="201" t="s">
        <v>41</v>
      </c>
      <c r="J4" s="498" t="s">
        <v>42</v>
      </c>
      <c r="K4" s="474"/>
      <c r="L4" s="474"/>
      <c r="M4" s="270" t="s">
        <v>4</v>
      </c>
      <c r="N4" s="271" t="s">
        <v>5</v>
      </c>
      <c r="O4" s="272" t="s">
        <v>6</v>
      </c>
      <c r="P4" s="273" t="s">
        <v>4</v>
      </c>
      <c r="Q4" s="274" t="s">
        <v>8</v>
      </c>
      <c r="R4" s="275" t="s">
        <v>9</v>
      </c>
      <c r="S4" s="276" t="s">
        <v>44</v>
      </c>
    </row>
    <row r="5" spans="1:37" ht="22.5" customHeight="1">
      <c r="A5" s="10"/>
      <c r="B5" s="424">
        <v>1</v>
      </c>
      <c r="C5" s="108" t="s">
        <v>264</v>
      </c>
      <c r="D5" s="385" t="s">
        <v>118</v>
      </c>
      <c r="E5" s="386" t="s">
        <v>294</v>
      </c>
      <c r="F5" s="109" t="s">
        <v>119</v>
      </c>
      <c r="G5" s="439" t="s">
        <v>272</v>
      </c>
      <c r="H5" s="425" t="str">
        <f t="shared" ref="H5" si="0">UPPER(G5)</f>
        <v>ASSEMBLEIA GERAL EXTRAORDINÁRIA Nº 032</v>
      </c>
      <c r="I5" s="111" t="s">
        <v>126</v>
      </c>
      <c r="J5" s="112">
        <v>45170</v>
      </c>
      <c r="K5" s="109">
        <v>22</v>
      </c>
      <c r="L5" s="113">
        <v>22</v>
      </c>
      <c r="M5" s="333">
        <v>122.29</v>
      </c>
      <c r="N5" s="333">
        <v>43</v>
      </c>
      <c r="O5" s="278"/>
      <c r="P5" s="210">
        <v>0</v>
      </c>
      <c r="Q5" s="348">
        <v>4362.1400000000003</v>
      </c>
      <c r="R5" s="349">
        <v>0</v>
      </c>
      <c r="S5" s="431">
        <f t="shared" ref="S5:S14" si="1">M5+N5+O5+P5+Q5+R5</f>
        <v>4527.43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421" customFormat="1" ht="22.5" customHeight="1">
      <c r="A6" s="10"/>
      <c r="B6" s="426">
        <v>2</v>
      </c>
      <c r="C6" s="97" t="s">
        <v>265</v>
      </c>
      <c r="D6" s="99" t="s">
        <v>273</v>
      </c>
      <c r="E6" s="412" t="s">
        <v>295</v>
      </c>
      <c r="F6" s="434" t="s">
        <v>274</v>
      </c>
      <c r="G6" s="435" t="s">
        <v>275</v>
      </c>
      <c r="H6" s="182" t="str">
        <f t="shared" ref="H6:H14" si="2">UPPER(G6)</f>
        <v>SEMINÁRIO DE MEIO-TERMO - CAPAES/MEC</v>
      </c>
      <c r="I6" s="101" t="s">
        <v>113</v>
      </c>
      <c r="J6" s="102">
        <v>45200</v>
      </c>
      <c r="K6" s="99">
        <v>30</v>
      </c>
      <c r="L6" s="103">
        <v>31</v>
      </c>
      <c r="M6" s="326">
        <v>111.95</v>
      </c>
      <c r="N6" s="326">
        <v>115.88</v>
      </c>
      <c r="O6" s="430"/>
      <c r="P6" s="209">
        <v>0</v>
      </c>
      <c r="Q6" s="327">
        <f>1056.04+1888.41</f>
        <v>2944.45</v>
      </c>
      <c r="R6" s="307">
        <v>467.5</v>
      </c>
      <c r="S6" s="180">
        <f t="shared" si="1"/>
        <v>3639.7799999999997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421" customFormat="1" ht="22.5" customHeight="1">
      <c r="A7" s="10"/>
      <c r="B7" s="426">
        <v>3</v>
      </c>
      <c r="C7" s="97" t="s">
        <v>266</v>
      </c>
      <c r="D7" s="99" t="s">
        <v>276</v>
      </c>
      <c r="E7" s="403" t="s">
        <v>296</v>
      </c>
      <c r="F7" s="440" t="s">
        <v>277</v>
      </c>
      <c r="G7" s="436" t="s">
        <v>278</v>
      </c>
      <c r="H7" s="182" t="str">
        <f t="shared" si="2"/>
        <v>VISITA TÉCNICA E PALESTRA SOBRE ORÇAMENTO PÚBLICO E EXECUÇÃO ORÇAMENTÁRIA E FINANCEIRA NO HCPA</v>
      </c>
      <c r="I7" s="101" t="s">
        <v>291</v>
      </c>
      <c r="J7" s="305">
        <v>45200</v>
      </c>
      <c r="K7" s="368">
        <v>9</v>
      </c>
      <c r="L7" s="369">
        <v>10</v>
      </c>
      <c r="M7" s="326">
        <v>0</v>
      </c>
      <c r="N7" s="326">
        <v>216.8</v>
      </c>
      <c r="O7" s="430"/>
      <c r="P7" s="209">
        <v>0</v>
      </c>
      <c r="Q7" s="327">
        <v>2342.4499999999998</v>
      </c>
      <c r="R7" s="307">
        <v>284.64999999999998</v>
      </c>
      <c r="S7" s="180">
        <f t="shared" si="1"/>
        <v>2843.9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21" customFormat="1" ht="22.5" customHeight="1">
      <c r="A8" s="10"/>
      <c r="B8" s="426">
        <v>4</v>
      </c>
      <c r="C8" s="97" t="s">
        <v>267</v>
      </c>
      <c r="D8" s="99" t="s">
        <v>279</v>
      </c>
      <c r="E8" s="403" t="s">
        <v>297</v>
      </c>
      <c r="F8" s="437" t="s">
        <v>280</v>
      </c>
      <c r="G8" s="436" t="s">
        <v>278</v>
      </c>
      <c r="H8" s="182" t="str">
        <f t="shared" si="2"/>
        <v>VISITA TÉCNICA E PALESTRA SOBRE ORÇAMENTO PÚBLICO E EXECUÇÃO ORÇAMENTÁRIA E FINANCEIRA NO HCPA</v>
      </c>
      <c r="I8" s="101" t="s">
        <v>292</v>
      </c>
      <c r="J8" s="305">
        <v>45200</v>
      </c>
      <c r="K8" s="368">
        <v>9</v>
      </c>
      <c r="L8" s="369">
        <v>10</v>
      </c>
      <c r="M8" s="326">
        <v>116.13</v>
      </c>
      <c r="N8" s="326">
        <v>205.5</v>
      </c>
      <c r="O8" s="430"/>
      <c r="P8" s="209">
        <v>0</v>
      </c>
      <c r="Q8" s="449">
        <f>2046.69+2223.04</f>
        <v>4269.7299999999996</v>
      </c>
      <c r="R8" s="307">
        <v>284.64999999999998</v>
      </c>
      <c r="S8" s="180">
        <f t="shared" si="1"/>
        <v>4876.0099999999993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421" customFormat="1" ht="22.5" customHeight="1">
      <c r="A9" s="10"/>
      <c r="B9" s="426">
        <v>5</v>
      </c>
      <c r="C9" s="97" t="s">
        <v>268</v>
      </c>
      <c r="D9" s="99" t="s">
        <v>281</v>
      </c>
      <c r="E9" s="412" t="s">
        <v>298</v>
      </c>
      <c r="F9" s="438" t="s">
        <v>282</v>
      </c>
      <c r="G9" s="436" t="s">
        <v>278</v>
      </c>
      <c r="H9" s="182" t="str">
        <f t="shared" si="2"/>
        <v>VISITA TÉCNICA E PALESTRA SOBRE ORÇAMENTO PÚBLICO E EXECUÇÃO ORÇAMENTÁRIA E FINANCEIRA NO HCPA</v>
      </c>
      <c r="I9" s="101" t="s">
        <v>126</v>
      </c>
      <c r="J9" s="305">
        <v>45200</v>
      </c>
      <c r="K9" s="368">
        <v>9</v>
      </c>
      <c r="L9" s="369">
        <v>10</v>
      </c>
      <c r="M9" s="326">
        <v>0</v>
      </c>
      <c r="N9" s="326">
        <v>0</v>
      </c>
      <c r="O9" s="430"/>
      <c r="P9" s="209">
        <v>0</v>
      </c>
      <c r="Q9" s="327">
        <v>2342.4499999999998</v>
      </c>
      <c r="R9" s="307">
        <v>0</v>
      </c>
      <c r="S9" s="180">
        <f t="shared" si="1"/>
        <v>2342.4499999999998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421" customFormat="1" ht="22.5" customHeight="1">
      <c r="A10" s="10"/>
      <c r="B10" s="426">
        <v>6</v>
      </c>
      <c r="C10" s="97" t="s">
        <v>269</v>
      </c>
      <c r="D10" s="99" t="s">
        <v>82</v>
      </c>
      <c r="E10" s="403" t="s">
        <v>299</v>
      </c>
      <c r="F10" s="101" t="s">
        <v>283</v>
      </c>
      <c r="G10" s="436" t="s">
        <v>284</v>
      </c>
      <c r="H10" s="182" t="str">
        <f t="shared" si="2"/>
        <v>PARTICIPAÇÃO NO SEMINÁRIO DE MEIO TERMO - CAPES</v>
      </c>
      <c r="I10" s="101" t="s">
        <v>113</v>
      </c>
      <c r="J10" s="305">
        <v>45200</v>
      </c>
      <c r="K10" s="368">
        <v>22</v>
      </c>
      <c r="L10" s="369">
        <v>24</v>
      </c>
      <c r="M10" s="326">
        <v>83.51</v>
      </c>
      <c r="N10" s="326">
        <v>0</v>
      </c>
      <c r="O10" s="430"/>
      <c r="P10" s="209">
        <v>0</v>
      </c>
      <c r="Q10" s="327">
        <v>5255.45</v>
      </c>
      <c r="R10" s="307">
        <f>935+71.17</f>
        <v>1006.17</v>
      </c>
      <c r="S10" s="180">
        <f t="shared" si="1"/>
        <v>6345.13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421" customFormat="1" ht="27" customHeight="1">
      <c r="A11" s="10"/>
      <c r="B11" s="426">
        <v>7</v>
      </c>
      <c r="C11" s="97" t="s">
        <v>270</v>
      </c>
      <c r="D11" s="99" t="s">
        <v>285</v>
      </c>
      <c r="E11" s="403" t="s">
        <v>300</v>
      </c>
      <c r="F11" s="101" t="s">
        <v>286</v>
      </c>
      <c r="G11" s="150" t="s">
        <v>287</v>
      </c>
      <c r="H11" s="182" t="str">
        <f t="shared" si="2"/>
        <v>PARTICIPAÇÃO NA REBRATS PARA ATUALIZAÇÕES E REUNIÕES COM O MINISTÉRIO DA SAÚDE.</v>
      </c>
      <c r="I11" s="101" t="s">
        <v>113</v>
      </c>
      <c r="J11" s="305">
        <v>45200</v>
      </c>
      <c r="K11" s="368">
        <v>17</v>
      </c>
      <c r="L11" s="369">
        <v>20</v>
      </c>
      <c r="M11" s="326">
        <v>231.66</v>
      </c>
      <c r="N11" s="326"/>
      <c r="O11" s="430"/>
      <c r="P11" s="209">
        <v>0</v>
      </c>
      <c r="Q11" s="327">
        <v>3778.45</v>
      </c>
      <c r="R11" s="307">
        <f>125.4+1386</f>
        <v>1511.4</v>
      </c>
      <c r="S11" s="180">
        <f t="shared" si="1"/>
        <v>5521.51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421" customFormat="1" ht="33" customHeight="1">
      <c r="A12" s="10"/>
      <c r="B12" s="426">
        <v>8</v>
      </c>
      <c r="C12" s="412" t="s">
        <v>271</v>
      </c>
      <c r="D12" s="99" t="s">
        <v>288</v>
      </c>
      <c r="E12" s="403" t="s">
        <v>301</v>
      </c>
      <c r="F12" s="101" t="s">
        <v>289</v>
      </c>
      <c r="G12" s="380" t="s">
        <v>290</v>
      </c>
      <c r="H12" s="182" t="str">
        <f t="shared" si="2"/>
        <v>PARTICIPAÇÃO DO FÓRUM INTERNACIONAL DE LÍDERES DE EDUCAÇÃO MÉDICA - AMÉRICA LATINA (IMELF - LA)</v>
      </c>
      <c r="I12" s="101" t="s">
        <v>293</v>
      </c>
      <c r="J12" s="305">
        <v>45231</v>
      </c>
      <c r="K12" s="368">
        <v>22</v>
      </c>
      <c r="L12" s="369">
        <v>23</v>
      </c>
      <c r="M12" s="326">
        <v>0</v>
      </c>
      <c r="N12" s="326">
        <v>0</v>
      </c>
      <c r="O12" s="430"/>
      <c r="P12" s="209">
        <v>0</v>
      </c>
      <c r="Q12" s="327">
        <f>1196.12+2575.3</f>
        <v>3771.42</v>
      </c>
      <c r="R12" s="307">
        <v>451.5</v>
      </c>
      <c r="S12" s="180">
        <f t="shared" si="1"/>
        <v>4222.92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421" customFormat="1" ht="22.5" customHeight="1">
      <c r="A13" s="10"/>
      <c r="B13" s="426">
        <v>9</v>
      </c>
      <c r="C13" s="448" t="s">
        <v>302</v>
      </c>
      <c r="D13" s="99" t="s">
        <v>303</v>
      </c>
      <c r="E13" s="403" t="s">
        <v>304</v>
      </c>
      <c r="F13" s="101" t="s">
        <v>305</v>
      </c>
      <c r="G13" s="380" t="s">
        <v>306</v>
      </c>
      <c r="H13" s="182" t="str">
        <f t="shared" si="2"/>
        <v>PARTICIPAÇÃO 80 ANOS DO BANCO DE LEITE HUMANO DO IFF/ FIOCRUZ 80 ANOS DE BANCOS DE LEITE HUMANO NO BRASIL</v>
      </c>
      <c r="I13" s="101" t="s">
        <v>223</v>
      </c>
      <c r="J13" s="305">
        <v>45200</v>
      </c>
      <c r="K13" s="368">
        <v>3</v>
      </c>
      <c r="L13" s="369">
        <v>4</v>
      </c>
      <c r="M13" s="326">
        <v>0</v>
      </c>
      <c r="N13" s="326">
        <v>0</v>
      </c>
      <c r="O13" s="430"/>
      <c r="P13" s="209">
        <v>0</v>
      </c>
      <c r="Q13" s="327">
        <f>2992.04+2384.2</f>
        <v>5376.24</v>
      </c>
      <c r="R13" s="307">
        <v>0</v>
      </c>
      <c r="S13" s="180">
        <f t="shared" si="1"/>
        <v>5376.24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94" customFormat="1" ht="22.5" customHeight="1" thickBot="1">
      <c r="A14" s="10"/>
      <c r="B14" s="280"/>
      <c r="C14" s="432"/>
      <c r="D14" s="441"/>
      <c r="E14" s="287"/>
      <c r="F14" s="427"/>
      <c r="G14" s="428"/>
      <c r="H14" s="429" t="str">
        <f t="shared" si="2"/>
        <v/>
      </c>
      <c r="I14" s="291"/>
      <c r="J14" s="292"/>
      <c r="K14" s="289"/>
      <c r="L14" s="293"/>
      <c r="M14" s="257"/>
      <c r="N14" s="257"/>
      <c r="O14" s="282"/>
      <c r="P14" s="257"/>
      <c r="Q14" s="130"/>
      <c r="R14" s="131"/>
      <c r="S14" s="433">
        <f t="shared" si="1"/>
        <v>0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4.75" customHeight="1">
      <c r="A15" s="21"/>
      <c r="B15" s="21"/>
      <c r="C15" s="21"/>
      <c r="D15" s="21"/>
      <c r="E15" s="21"/>
      <c r="F15" s="21"/>
      <c r="G15" s="21"/>
      <c r="H15" s="21"/>
      <c r="I15" s="61"/>
      <c r="J15" s="21"/>
      <c r="K15" s="14"/>
      <c r="L15" s="21"/>
      <c r="M15" s="73">
        <f t="shared" ref="M15:R15" si="3">SUM(M5:M14)</f>
        <v>665.54</v>
      </c>
      <c r="N15" s="73">
        <f t="shared" si="3"/>
        <v>581.18000000000006</v>
      </c>
      <c r="O15" s="73">
        <f t="shared" si="3"/>
        <v>0</v>
      </c>
      <c r="P15" s="76">
        <f t="shared" si="3"/>
        <v>0</v>
      </c>
      <c r="Q15" s="90">
        <f t="shared" si="3"/>
        <v>34442.78</v>
      </c>
      <c r="R15" s="91">
        <f t="shared" si="3"/>
        <v>4005.87</v>
      </c>
      <c r="S15" s="92">
        <f>SUM(S5:S14)+P16</f>
        <v>39695.369999999995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ht="24.75" customHeight="1">
      <c r="A16" s="24"/>
      <c r="B16" s="24"/>
      <c r="C16" s="24"/>
      <c r="D16" s="476"/>
      <c r="E16" s="472"/>
      <c r="F16" s="472"/>
      <c r="G16" s="472"/>
      <c r="H16" s="472"/>
      <c r="I16" s="472"/>
      <c r="J16" s="472"/>
      <c r="K16" s="472"/>
      <c r="L16" s="24"/>
      <c r="M16" s="25"/>
      <c r="N16" s="25"/>
      <c r="O16" s="66" t="s">
        <v>13</v>
      </c>
      <c r="P16" s="11">
        <f>P15*1%</f>
        <v>0</v>
      </c>
      <c r="Q16" s="24"/>
      <c r="R16" s="24"/>
      <c r="S16" s="29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24.75" customHeight="1">
      <c r="A17" s="24"/>
      <c r="B17" s="24"/>
      <c r="C17" s="24"/>
      <c r="D17" s="224" t="s">
        <v>45</v>
      </c>
      <c r="E17" s="60"/>
      <c r="F17" s="60"/>
      <c r="G17" s="60"/>
      <c r="H17" s="60"/>
      <c r="I17" s="27"/>
      <c r="J17" s="24"/>
      <c r="K17" s="24"/>
      <c r="L17" s="25"/>
      <c r="M17" s="25"/>
      <c r="N17" s="25"/>
      <c r="O17" s="25"/>
      <c r="P17" s="67">
        <f>P15+P16</f>
        <v>0</v>
      </c>
      <c r="Q17" s="28"/>
      <c r="R17" s="29"/>
      <c r="S17" s="68" t="s">
        <v>46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24.75" customHeight="1">
      <c r="A18" s="24"/>
      <c r="B18" s="24"/>
      <c r="C18" s="24"/>
      <c r="D18" s="477"/>
      <c r="E18" s="472"/>
      <c r="F18" s="472"/>
      <c r="G18" s="472"/>
      <c r="H18" s="472"/>
      <c r="I18" s="472"/>
      <c r="J18" s="472"/>
      <c r="K18" s="472"/>
      <c r="L18" s="24"/>
      <c r="M18" s="25"/>
      <c r="N18" s="25"/>
      <c r="O18" s="25"/>
      <c r="P18" s="11"/>
      <c r="Q18" s="4" t="s">
        <v>25</v>
      </c>
      <c r="R18" s="69">
        <f>M15+N15+O15+P17+Q15+R15</f>
        <v>39695.370000000003</v>
      </c>
      <c r="S18" s="34">
        <f>S15-R18</f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24.75" customHeight="1">
      <c r="C19" s="1"/>
      <c r="D19" s="1"/>
      <c r="E19" s="1"/>
      <c r="F19" s="1"/>
      <c r="G19" s="1"/>
      <c r="H19" s="1"/>
      <c r="I19" s="2"/>
      <c r="J19" s="40"/>
      <c r="K19" s="40"/>
      <c r="L19" s="40"/>
      <c r="M19" s="3"/>
      <c r="N19" s="3"/>
      <c r="O19" s="66" t="s">
        <v>13</v>
      </c>
      <c r="P19" s="11" t="s">
        <v>47</v>
      </c>
      <c r="Q19" s="4"/>
      <c r="R19" s="5"/>
      <c r="S19" s="5"/>
    </row>
    <row r="20" spans="1:37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11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24.75" customHeight="1">
      <c r="C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70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24"/>
    </row>
    <row r="31" spans="1:37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24"/>
    </row>
    <row r="32" spans="1:37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</sheetData>
  <sheetProtection algorithmName="SHA-512" hashValue="aqCelYu04s0AQmgQuMaXnsgBwnPub5KOoiKRpL1NWQy+8yNEAegXAqfxywnA1VCJ3fN9u/NAS3PUB1sQclwlqw==" saltValue="290sYSjotW2WdT64zTGUMA==" spinCount="100000" sheet="1" objects="1" scenarios="1"/>
  <mergeCells count="6">
    <mergeCell ref="D18:K18"/>
    <mergeCell ref="B2:S2"/>
    <mergeCell ref="M3:O3"/>
    <mergeCell ref="Q3:S3"/>
    <mergeCell ref="J4:L4"/>
    <mergeCell ref="D16:K16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9"/>
  <sheetViews>
    <sheetView topLeftCell="B4" workbookViewId="0">
      <selection activeCell="F12" sqref="F12"/>
    </sheetView>
  </sheetViews>
  <sheetFormatPr defaultColWidth="12.625" defaultRowHeight="15" customHeight="1"/>
  <cols>
    <col min="1" max="1" width="2.375" style="96" customWidth="1"/>
    <col min="2" max="2" width="6.5" style="96" customWidth="1"/>
    <col min="3" max="3" width="19.875" style="96" hidden="1" customWidth="1"/>
    <col min="4" max="4" width="34" style="96" customWidth="1"/>
    <col min="5" max="5" width="18.125" style="96" customWidth="1"/>
    <col min="6" max="6" width="34" style="96" customWidth="1"/>
    <col min="7" max="7" width="34" style="96" hidden="1" customWidth="1"/>
    <col min="8" max="8" width="34" style="96" customWidth="1"/>
    <col min="9" max="9" width="22.375" style="96" customWidth="1"/>
    <col min="10" max="11" width="8" style="96" customWidth="1"/>
    <col min="12" max="12" width="8.5" style="96" customWidth="1"/>
    <col min="13" max="15" width="12.375" style="96" customWidth="1"/>
    <col min="16" max="16" width="11.875" style="96" customWidth="1"/>
    <col min="17" max="17" width="14.25" style="96" customWidth="1"/>
    <col min="18" max="18" width="13" style="96" customWidth="1"/>
    <col min="19" max="19" width="15.75" style="96" customWidth="1"/>
    <col min="20" max="37" width="7.625" style="96" customWidth="1"/>
    <col min="38" max="16384" width="12.625" style="96"/>
  </cols>
  <sheetData>
    <row r="1" spans="1:37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7" ht="24.75" customHeight="1" thickBot="1">
      <c r="A2" s="41"/>
      <c r="B2" s="478" t="s">
        <v>59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1"/>
      <c r="B3" s="95"/>
      <c r="C3" s="95"/>
      <c r="D3" s="95"/>
      <c r="E3" s="95"/>
      <c r="F3" s="194"/>
      <c r="G3" s="95"/>
      <c r="H3" s="95"/>
      <c r="I3" s="95"/>
      <c r="J3" s="95"/>
      <c r="K3" s="95"/>
      <c r="L3" s="89"/>
      <c r="M3" s="496" t="s">
        <v>0</v>
      </c>
      <c r="N3" s="474"/>
      <c r="O3" s="475"/>
      <c r="P3" s="212" t="s">
        <v>32</v>
      </c>
      <c r="Q3" s="497" t="s">
        <v>33</v>
      </c>
      <c r="R3" s="474"/>
      <c r="S3" s="47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220" t="s">
        <v>34</v>
      </c>
      <c r="C4" s="221" t="s">
        <v>35</v>
      </c>
      <c r="D4" s="443" t="s">
        <v>36</v>
      </c>
      <c r="E4" s="222" t="s">
        <v>37</v>
      </c>
      <c r="F4" s="222" t="s">
        <v>38</v>
      </c>
      <c r="G4" s="223" t="s">
        <v>39</v>
      </c>
      <c r="H4" s="222" t="s">
        <v>40</v>
      </c>
      <c r="I4" s="222" t="s">
        <v>41</v>
      </c>
      <c r="J4" s="499" t="s">
        <v>42</v>
      </c>
      <c r="K4" s="489"/>
      <c r="L4" s="489"/>
      <c r="M4" s="213" t="s">
        <v>4</v>
      </c>
      <c r="N4" s="214" t="s">
        <v>5</v>
      </c>
      <c r="O4" s="215" t="s">
        <v>6</v>
      </c>
      <c r="P4" s="216" t="s">
        <v>4</v>
      </c>
      <c r="Q4" s="217" t="s">
        <v>8</v>
      </c>
      <c r="R4" s="218" t="s">
        <v>9</v>
      </c>
      <c r="S4" s="219" t="s">
        <v>44</v>
      </c>
    </row>
    <row r="5" spans="1:37" ht="22.5" customHeight="1">
      <c r="A5" s="10"/>
      <c r="B5" s="107">
        <v>1</v>
      </c>
      <c r="C5" s="108" t="s">
        <v>307</v>
      </c>
      <c r="D5" s="385" t="s">
        <v>82</v>
      </c>
      <c r="E5" s="386" t="s">
        <v>338</v>
      </c>
      <c r="F5" s="109" t="s">
        <v>283</v>
      </c>
      <c r="G5" s="388" t="s">
        <v>332</v>
      </c>
      <c r="H5" s="277" t="str">
        <f t="shared" ref="H5:H18" si="0">UPPER(G5)</f>
        <v>PARTICIPAR DO VI CONGRESSO DA ASSOCIAÇÃO BRASILEIRA DE HOSPITAIS UNIVERSITÁRIOS E DE ENSINO - ABRAHUE.</v>
      </c>
      <c r="I5" s="111" t="s">
        <v>127</v>
      </c>
      <c r="J5" s="332">
        <v>45231</v>
      </c>
      <c r="K5" s="457">
        <v>29</v>
      </c>
      <c r="L5" s="458">
        <v>30</v>
      </c>
      <c r="M5" s="326">
        <v>136</v>
      </c>
      <c r="N5" s="326">
        <v>0</v>
      </c>
      <c r="O5" s="450"/>
      <c r="P5" s="210">
        <v>0</v>
      </c>
      <c r="Q5" s="348">
        <v>1716.09</v>
      </c>
      <c r="R5" s="469">
        <f>330.75+80.3</f>
        <v>411.05</v>
      </c>
      <c r="S5" s="279">
        <f t="shared" ref="S5:S18" si="1">M5+N5+O5+P5+Q5+R5</f>
        <v>2263.14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s="442" customFormat="1" ht="22.5" customHeight="1">
      <c r="A6" s="10"/>
      <c r="B6" s="179">
        <v>2</v>
      </c>
      <c r="C6" s="97" t="s">
        <v>307</v>
      </c>
      <c r="D6" s="381" t="s">
        <v>314</v>
      </c>
      <c r="E6" s="382" t="s">
        <v>339</v>
      </c>
      <c r="F6" s="380" t="s">
        <v>315</v>
      </c>
      <c r="G6" s="380" t="s">
        <v>332</v>
      </c>
      <c r="H6" s="182" t="str">
        <f t="shared" si="0"/>
        <v>PARTICIPAR DO VI CONGRESSO DA ASSOCIAÇÃO BRASILEIRA DE HOSPITAIS UNIVERSITÁRIOS E DE ENSINO - ABRAHUE.</v>
      </c>
      <c r="I6" s="101" t="s">
        <v>127</v>
      </c>
      <c r="J6" s="305">
        <v>45231</v>
      </c>
      <c r="K6" s="310">
        <v>29</v>
      </c>
      <c r="L6" s="311">
        <v>30</v>
      </c>
      <c r="M6" s="326">
        <v>138</v>
      </c>
      <c r="N6" s="326">
        <v>157.63999999999999</v>
      </c>
      <c r="O6" s="211"/>
      <c r="P6" s="209">
        <v>0</v>
      </c>
      <c r="Q6" s="327">
        <v>1716.09</v>
      </c>
      <c r="R6" s="469">
        <f>330.75+9</f>
        <v>339.75</v>
      </c>
      <c r="S6" s="180">
        <f t="shared" si="1"/>
        <v>2351.48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s="442" customFormat="1" ht="22.5" customHeight="1">
      <c r="A7" s="10"/>
      <c r="B7" s="179">
        <v>3</v>
      </c>
      <c r="C7" s="97" t="s">
        <v>308</v>
      </c>
      <c r="D7" s="381" t="s">
        <v>316</v>
      </c>
      <c r="E7" s="382" t="s">
        <v>340</v>
      </c>
      <c r="F7" s="380" t="s">
        <v>317</v>
      </c>
      <c r="G7" s="459" t="s">
        <v>333</v>
      </c>
      <c r="H7" s="182" t="str">
        <f t="shared" si="0"/>
        <v>PARTICIPAR DO CONAHP - 2023, VISANDO ATUALIZAÇÃO DOS CONHECIMENTOS, ACOMPANHAR AS INICIATIVAS DO MERCADO EM SAÚDE SUPLEMENTAR, TECNOLOGIAS E INOVAÇÕES, ALÉM DE FORTALECER PARCERIAS PÚBLICO-PRIVADAS.</v>
      </c>
      <c r="I7" s="101" t="s">
        <v>127</v>
      </c>
      <c r="J7" s="102">
        <v>45200</v>
      </c>
      <c r="K7" s="99">
        <v>17</v>
      </c>
      <c r="L7" s="103">
        <v>19</v>
      </c>
      <c r="M7" s="326">
        <v>71.03</v>
      </c>
      <c r="N7" s="326">
        <v>384</v>
      </c>
      <c r="O7" s="211"/>
      <c r="P7" s="209">
        <v>0</v>
      </c>
      <c r="Q7" s="327">
        <f>2758.98+2779.12+370</f>
        <v>5908.1</v>
      </c>
      <c r="R7" s="307">
        <f>1428+9.5</f>
        <v>1437.5</v>
      </c>
      <c r="S7" s="180">
        <f t="shared" si="1"/>
        <v>7800.63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s="442" customFormat="1" ht="22.5" customHeight="1">
      <c r="A8" s="10"/>
      <c r="B8" s="179">
        <v>4</v>
      </c>
      <c r="C8" s="97" t="s">
        <v>308</v>
      </c>
      <c r="D8" s="381" t="s">
        <v>318</v>
      </c>
      <c r="E8" s="455" t="s">
        <v>341</v>
      </c>
      <c r="F8" s="380" t="s">
        <v>319</v>
      </c>
      <c r="G8" s="456" t="s">
        <v>333</v>
      </c>
      <c r="H8" s="182" t="str">
        <f t="shared" si="0"/>
        <v>PARTICIPAR DO CONAHP - 2023, VISANDO ATUALIZAÇÃO DOS CONHECIMENTOS, ACOMPANHAR AS INICIATIVAS DO MERCADO EM SAÚDE SUPLEMENTAR, TECNOLOGIAS E INOVAÇÕES, ALÉM DE FORTALECER PARCERIAS PÚBLICO-PRIVADAS.</v>
      </c>
      <c r="I8" s="101" t="s">
        <v>127</v>
      </c>
      <c r="J8" s="102">
        <v>45200</v>
      </c>
      <c r="K8" s="99">
        <v>17</v>
      </c>
      <c r="L8" s="103">
        <v>19</v>
      </c>
      <c r="M8" s="326">
        <v>197.22</v>
      </c>
      <c r="N8" s="326">
        <v>287</v>
      </c>
      <c r="O8" s="211"/>
      <c r="P8" s="209">
        <v>0</v>
      </c>
      <c r="Q8" s="327">
        <f>2758.98+2779.12</f>
        <v>5538.1</v>
      </c>
      <c r="R8" s="307">
        <f>1428+40.5</f>
        <v>1468.5</v>
      </c>
      <c r="S8" s="180">
        <f t="shared" si="1"/>
        <v>7490.8200000000006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s="442" customFormat="1" ht="22.5" customHeight="1">
      <c r="A9" s="10"/>
      <c r="B9" s="179">
        <v>5</v>
      </c>
      <c r="C9" s="97" t="s">
        <v>308</v>
      </c>
      <c r="D9" s="381" t="s">
        <v>320</v>
      </c>
      <c r="E9" s="455" t="s">
        <v>342</v>
      </c>
      <c r="F9" s="380" t="s">
        <v>321</v>
      </c>
      <c r="G9" s="456" t="s">
        <v>333</v>
      </c>
      <c r="H9" s="182" t="str">
        <f t="shared" si="0"/>
        <v>PARTICIPAR DO CONAHP - 2023, VISANDO ATUALIZAÇÃO DOS CONHECIMENTOS, ACOMPANHAR AS INICIATIVAS DO MERCADO EM SAÚDE SUPLEMENTAR, TECNOLOGIAS E INOVAÇÕES, ALÉM DE FORTALECER PARCERIAS PÚBLICO-PRIVADAS.</v>
      </c>
      <c r="I9" s="101" t="s">
        <v>127</v>
      </c>
      <c r="J9" s="102">
        <v>45200</v>
      </c>
      <c r="K9" s="99">
        <v>17</v>
      </c>
      <c r="L9" s="103">
        <v>19</v>
      </c>
      <c r="M9" s="326">
        <v>123.81</v>
      </c>
      <c r="N9" s="326">
        <v>320</v>
      </c>
      <c r="O9" s="211"/>
      <c r="P9" s="209">
        <v>0</v>
      </c>
      <c r="Q9" s="327">
        <f>2758.98+2779.12</f>
        <v>5538.1</v>
      </c>
      <c r="R9" s="307">
        <f>1428+62.5</f>
        <v>1490.5</v>
      </c>
      <c r="S9" s="180">
        <f t="shared" si="1"/>
        <v>7472.4100000000008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s="442" customFormat="1" ht="22.5" customHeight="1">
      <c r="A10" s="10"/>
      <c r="B10" s="179">
        <v>6</v>
      </c>
      <c r="C10" s="97" t="s">
        <v>309</v>
      </c>
      <c r="D10" s="99" t="s">
        <v>137</v>
      </c>
      <c r="E10" s="382" t="s">
        <v>343</v>
      </c>
      <c r="F10" s="380" t="s">
        <v>322</v>
      </c>
      <c r="G10" s="380" t="s">
        <v>334</v>
      </c>
      <c r="H10" s="182" t="str">
        <f t="shared" si="0"/>
        <v>PARTICIPAR NO 43º CONBRAL</v>
      </c>
      <c r="I10" s="101" t="s">
        <v>127</v>
      </c>
      <c r="J10" s="305">
        <v>45231</v>
      </c>
      <c r="K10" s="99">
        <v>26</v>
      </c>
      <c r="L10" s="103">
        <v>28</v>
      </c>
      <c r="M10" s="326">
        <v>252.73</v>
      </c>
      <c r="N10" s="326">
        <v>106.2</v>
      </c>
      <c r="O10" s="211"/>
      <c r="P10" s="209">
        <v>0</v>
      </c>
      <c r="Q10" s="327">
        <v>1329.06</v>
      </c>
      <c r="R10" s="307">
        <f>1008+29.7</f>
        <v>1037.7</v>
      </c>
      <c r="S10" s="180">
        <f t="shared" si="1"/>
        <v>2725.69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s="442" customFormat="1" ht="22.5" customHeight="1">
      <c r="A11" s="10"/>
      <c r="B11" s="179">
        <v>7</v>
      </c>
      <c r="C11" s="97" t="s">
        <v>309</v>
      </c>
      <c r="D11" s="99" t="s">
        <v>323</v>
      </c>
      <c r="E11" s="382" t="s">
        <v>344</v>
      </c>
      <c r="F11" s="380" t="s">
        <v>324</v>
      </c>
      <c r="G11" s="380" t="s">
        <v>334</v>
      </c>
      <c r="H11" s="182" t="str">
        <f t="shared" si="0"/>
        <v>PARTICIPAR NO 43º CONBRAL</v>
      </c>
      <c r="I11" s="101" t="s">
        <v>127</v>
      </c>
      <c r="J11" s="305">
        <v>45231</v>
      </c>
      <c r="K11" s="99">
        <v>26</v>
      </c>
      <c r="L11" s="103">
        <v>28</v>
      </c>
      <c r="M11" s="326">
        <v>0</v>
      </c>
      <c r="N11" s="326">
        <v>0</v>
      </c>
      <c r="O11" s="211"/>
      <c r="P11" s="209">
        <v>0</v>
      </c>
      <c r="Q11" s="327">
        <v>1329.06</v>
      </c>
      <c r="R11" s="307">
        <v>1008</v>
      </c>
      <c r="S11" s="180">
        <f t="shared" si="1"/>
        <v>2337.06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442" customFormat="1" ht="22.5" customHeight="1">
      <c r="A12" s="10"/>
      <c r="B12" s="179">
        <v>8</v>
      </c>
      <c r="C12" s="97" t="s">
        <v>310</v>
      </c>
      <c r="D12" s="99" t="s">
        <v>325</v>
      </c>
      <c r="E12" s="382" t="s">
        <v>345</v>
      </c>
      <c r="F12" s="380" t="s">
        <v>326</v>
      </c>
      <c r="G12" s="380" t="s">
        <v>335</v>
      </c>
      <c r="H12" s="182" t="str">
        <f t="shared" si="0"/>
        <v>TREINAMENTO PARA FACULTADOS - CENTRO INTERNACIONAL DE TREINAMENTO HCPA/AHA (AMERICAN HEART)</v>
      </c>
      <c r="I12" s="101" t="s">
        <v>127</v>
      </c>
      <c r="J12" s="102">
        <v>45200</v>
      </c>
      <c r="K12" s="99">
        <v>28</v>
      </c>
      <c r="L12" s="103">
        <v>28</v>
      </c>
      <c r="M12" s="326">
        <f>82.5</f>
        <v>82.5</v>
      </c>
      <c r="N12" s="326">
        <v>38.5</v>
      </c>
      <c r="O12" s="465">
        <v>40.5</v>
      </c>
      <c r="P12" s="209">
        <v>0</v>
      </c>
      <c r="Q12" s="327">
        <v>0</v>
      </c>
      <c r="R12" s="307">
        <v>0</v>
      </c>
      <c r="S12" s="180">
        <f t="shared" si="1"/>
        <v>161.5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442" customFormat="1" ht="22.5" customHeight="1">
      <c r="A13" s="10"/>
      <c r="B13" s="179">
        <v>9</v>
      </c>
      <c r="C13" s="97" t="s">
        <v>310</v>
      </c>
      <c r="D13" s="99" t="s">
        <v>327</v>
      </c>
      <c r="E13" s="382" t="s">
        <v>346</v>
      </c>
      <c r="F13" s="380" t="s">
        <v>328</v>
      </c>
      <c r="G13" s="380" t="s">
        <v>335</v>
      </c>
      <c r="H13" s="182" t="str">
        <f t="shared" si="0"/>
        <v>TREINAMENTO PARA FACULTADOS - CENTRO INTERNACIONAL DE TREINAMENTO HCPA/AHA (AMERICAN HEART)</v>
      </c>
      <c r="I13" s="101" t="s">
        <v>127</v>
      </c>
      <c r="J13" s="102">
        <v>45200</v>
      </c>
      <c r="K13" s="99">
        <v>27</v>
      </c>
      <c r="L13" s="103">
        <v>27</v>
      </c>
      <c r="M13" s="326">
        <v>0</v>
      </c>
      <c r="N13" s="326">
        <v>0</v>
      </c>
      <c r="O13" s="211"/>
      <c r="P13" s="209">
        <v>0</v>
      </c>
      <c r="Q13" s="327">
        <v>0</v>
      </c>
      <c r="R13" s="307">
        <v>0</v>
      </c>
      <c r="S13" s="180">
        <f t="shared" si="1"/>
        <v>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442" customFormat="1" ht="22.5" customHeight="1">
      <c r="A14" s="10"/>
      <c r="B14" s="179">
        <v>10</v>
      </c>
      <c r="C14" s="97" t="s">
        <v>310</v>
      </c>
      <c r="D14" s="99" t="s">
        <v>82</v>
      </c>
      <c r="E14" s="382" t="s">
        <v>347</v>
      </c>
      <c r="F14" s="99" t="s">
        <v>283</v>
      </c>
      <c r="G14" s="380" t="s">
        <v>335</v>
      </c>
      <c r="H14" s="182" t="str">
        <f t="shared" si="0"/>
        <v>TREINAMENTO PARA FACULTADOS - CENTRO INTERNACIONAL DE TREINAMENTO HCPA/AHA (AMERICAN HEART)</v>
      </c>
      <c r="I14" s="101" t="s">
        <v>127</v>
      </c>
      <c r="J14" s="102">
        <v>45200</v>
      </c>
      <c r="K14" s="99">
        <v>27</v>
      </c>
      <c r="L14" s="103">
        <v>28</v>
      </c>
      <c r="M14" s="326">
        <v>0</v>
      </c>
      <c r="N14" s="326">
        <v>104</v>
      </c>
      <c r="O14" s="211"/>
      <c r="P14" s="209">
        <v>0</v>
      </c>
      <c r="Q14" s="327">
        <v>0</v>
      </c>
      <c r="R14" s="307">
        <v>0</v>
      </c>
      <c r="S14" s="180">
        <f t="shared" si="1"/>
        <v>104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442" customFormat="1" ht="22.5" customHeight="1">
      <c r="A15" s="10"/>
      <c r="B15" s="179">
        <v>11</v>
      </c>
      <c r="C15" s="97" t="s">
        <v>311</v>
      </c>
      <c r="D15" s="99" t="s">
        <v>329</v>
      </c>
      <c r="E15" s="382" t="s">
        <v>348</v>
      </c>
      <c r="F15" s="380" t="s">
        <v>330</v>
      </c>
      <c r="G15" s="380" t="s">
        <v>336</v>
      </c>
      <c r="H15" s="182" t="str">
        <f t="shared" si="0"/>
        <v>REUNIÃO ORDINÁRIA DO CONSELHO FISCAL</v>
      </c>
      <c r="I15" s="101" t="s">
        <v>337</v>
      </c>
      <c r="J15" s="305">
        <v>45231</v>
      </c>
      <c r="K15" s="310">
        <v>23</v>
      </c>
      <c r="L15" s="311">
        <v>24</v>
      </c>
      <c r="M15" s="326">
        <v>0</v>
      </c>
      <c r="N15" s="326">
        <v>0</v>
      </c>
      <c r="O15" s="211"/>
      <c r="P15" s="209">
        <v>0</v>
      </c>
      <c r="Q15" s="327">
        <f>2090.31+1182.61</f>
        <v>3272.92</v>
      </c>
      <c r="R15" s="307">
        <v>0</v>
      </c>
      <c r="S15" s="180">
        <f t="shared" si="1"/>
        <v>3272.92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442" customFormat="1" ht="22.5" customHeight="1">
      <c r="A16" s="10"/>
      <c r="B16" s="179">
        <v>12</v>
      </c>
      <c r="C16" s="97" t="s">
        <v>312</v>
      </c>
      <c r="D16" s="99" t="s">
        <v>281</v>
      </c>
      <c r="E16" s="382" t="s">
        <v>298</v>
      </c>
      <c r="F16" s="380" t="s">
        <v>330</v>
      </c>
      <c r="G16" s="380" t="s">
        <v>336</v>
      </c>
      <c r="H16" s="182" t="str">
        <f t="shared" si="0"/>
        <v>REUNIÃO ORDINÁRIA DO CONSELHO FISCAL</v>
      </c>
      <c r="I16" s="101" t="s">
        <v>126</v>
      </c>
      <c r="J16" s="305">
        <v>45231</v>
      </c>
      <c r="K16" s="310">
        <v>23</v>
      </c>
      <c r="L16" s="311">
        <v>24</v>
      </c>
      <c r="M16" s="326">
        <v>0</v>
      </c>
      <c r="N16" s="326">
        <v>0</v>
      </c>
      <c r="O16" s="211">
        <v>0</v>
      </c>
      <c r="P16" s="209">
        <v>0</v>
      </c>
      <c r="Q16" s="327">
        <v>0</v>
      </c>
      <c r="R16" s="307">
        <v>0</v>
      </c>
      <c r="S16" s="180">
        <f t="shared" si="1"/>
        <v>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22.5" customHeight="1">
      <c r="A17" s="10"/>
      <c r="B17" s="179">
        <v>13</v>
      </c>
      <c r="C17" s="97" t="s">
        <v>313</v>
      </c>
      <c r="D17" s="99" t="s">
        <v>331</v>
      </c>
      <c r="E17" s="382" t="s">
        <v>349</v>
      </c>
      <c r="F17" s="380" t="s">
        <v>330</v>
      </c>
      <c r="G17" s="380" t="s">
        <v>336</v>
      </c>
      <c r="H17" s="182" t="str">
        <f t="shared" si="0"/>
        <v>REUNIÃO ORDINÁRIA DO CONSELHO FISCAL</v>
      </c>
      <c r="I17" s="101" t="s">
        <v>126</v>
      </c>
      <c r="J17" s="305">
        <v>45231</v>
      </c>
      <c r="K17" s="310">
        <v>23</v>
      </c>
      <c r="L17" s="311">
        <v>24</v>
      </c>
      <c r="M17" s="326">
        <v>128.32</v>
      </c>
      <c r="N17" s="326">
        <v>49</v>
      </c>
      <c r="O17" s="211"/>
      <c r="P17" s="209">
        <v>0</v>
      </c>
      <c r="Q17" s="327">
        <v>3899.77</v>
      </c>
      <c r="R17" s="307">
        <v>453.47</v>
      </c>
      <c r="S17" s="180">
        <f t="shared" si="1"/>
        <v>4530.5600000000004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2.5" customHeight="1" thickBot="1">
      <c r="A18" s="10"/>
      <c r="B18" s="286"/>
      <c r="C18" s="193"/>
      <c r="D18" s="451"/>
      <c r="E18" s="452"/>
      <c r="F18" s="124"/>
      <c r="G18" s="124"/>
      <c r="H18" s="281" t="str">
        <f t="shared" si="0"/>
        <v/>
      </c>
      <c r="I18" s="124"/>
      <c r="J18" s="125"/>
      <c r="K18" s="126"/>
      <c r="L18" s="127"/>
      <c r="M18" s="257"/>
      <c r="N18" s="257"/>
      <c r="O18" s="453"/>
      <c r="P18" s="257"/>
      <c r="Q18" s="341"/>
      <c r="R18" s="454"/>
      <c r="S18" s="175">
        <f t="shared" si="1"/>
        <v>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24.75" customHeight="1">
      <c r="A19" s="21"/>
      <c r="B19" s="21"/>
      <c r="C19" s="21"/>
      <c r="D19" s="21"/>
      <c r="E19" s="21"/>
      <c r="F19" s="21"/>
      <c r="G19" s="21"/>
      <c r="H19" s="21"/>
      <c r="I19" s="61"/>
      <c r="J19" s="21"/>
      <c r="K19" s="14"/>
      <c r="L19" s="21"/>
      <c r="M19" s="73">
        <f t="shared" ref="M19:R19" si="2">SUM(M5:M18)</f>
        <v>1129.6099999999999</v>
      </c>
      <c r="N19" s="73">
        <f t="shared" si="2"/>
        <v>1446.34</v>
      </c>
      <c r="O19" s="73">
        <f t="shared" si="2"/>
        <v>40.5</v>
      </c>
      <c r="P19" s="230"/>
      <c r="Q19" s="90">
        <f t="shared" si="2"/>
        <v>30247.290000000005</v>
      </c>
      <c r="R19" s="231">
        <f t="shared" si="2"/>
        <v>7646.47</v>
      </c>
      <c r="S19" s="230">
        <f>SUM(S5:S18)+P20</f>
        <v>40510.21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24.75" customHeight="1" thickBot="1">
      <c r="A20" s="24"/>
      <c r="B20" s="24"/>
      <c r="C20" s="24"/>
      <c r="D20" s="476"/>
      <c r="E20" s="472"/>
      <c r="F20" s="472"/>
      <c r="G20" s="472"/>
      <c r="H20" s="472"/>
      <c r="I20" s="472"/>
      <c r="J20" s="472"/>
      <c r="K20" s="472"/>
      <c r="L20" s="24"/>
      <c r="M20" s="25"/>
      <c r="N20" s="25"/>
      <c r="O20" s="66" t="s">
        <v>13</v>
      </c>
      <c r="P20" s="11">
        <f>P19*1%</f>
        <v>0</v>
      </c>
      <c r="Q20" s="24"/>
      <c r="R20" s="24"/>
      <c r="S20" s="29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24.75" customHeight="1" thickBot="1">
      <c r="A21" s="24"/>
      <c r="B21" s="24"/>
      <c r="C21" s="24"/>
      <c r="D21" s="224" t="s">
        <v>45</v>
      </c>
      <c r="E21" s="60"/>
      <c r="F21" s="60"/>
      <c r="G21" s="60"/>
      <c r="H21" s="60"/>
      <c r="I21" s="27"/>
      <c r="J21" s="24"/>
      <c r="K21" s="24"/>
      <c r="L21" s="25"/>
      <c r="M21" s="25"/>
      <c r="N21" s="25"/>
      <c r="O21" s="25"/>
      <c r="P21" s="67">
        <f>P19+P20</f>
        <v>0</v>
      </c>
      <c r="Q21" s="28"/>
      <c r="R21" s="29"/>
      <c r="S21" s="68" t="s">
        <v>46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24.75" customHeight="1">
      <c r="A22" s="24"/>
      <c r="B22" s="24"/>
      <c r="C22" s="24"/>
      <c r="D22" s="477"/>
      <c r="E22" s="472"/>
      <c r="F22" s="472"/>
      <c r="G22" s="472"/>
      <c r="H22" s="472"/>
      <c r="I22" s="472"/>
      <c r="J22" s="472"/>
      <c r="K22" s="472"/>
      <c r="L22" s="24"/>
      <c r="M22" s="25"/>
      <c r="N22" s="25"/>
      <c r="O22" s="25"/>
      <c r="P22" s="11"/>
      <c r="Q22" s="4" t="s">
        <v>25</v>
      </c>
      <c r="R22" s="232">
        <f>M19+N19+O19+P21+Q19+R19</f>
        <v>40510.210000000006</v>
      </c>
      <c r="S22" s="34">
        <f>S19-R22</f>
        <v>0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66" t="s">
        <v>13</v>
      </c>
      <c r="P23" s="11" t="s">
        <v>47</v>
      </c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7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7" ht="24.75" customHeight="1">
      <c r="C31" s="1"/>
      <c r="I31" s="2"/>
      <c r="J31" s="40"/>
      <c r="K31" s="40"/>
      <c r="L31" s="40"/>
      <c r="M31" s="3"/>
      <c r="N31" s="3"/>
      <c r="O31" s="3"/>
      <c r="P31" s="11"/>
      <c r="Q31" s="4"/>
      <c r="R31" s="5"/>
      <c r="S31" s="5"/>
    </row>
    <row r="32" spans="1:37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11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P33" s="70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24"/>
    </row>
    <row r="35" spans="3:19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  <c r="P35" s="24"/>
    </row>
    <row r="36" spans="3:19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  <c r="P36" s="24"/>
    </row>
    <row r="37" spans="3:19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9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9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9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9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9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9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9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9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9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9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</row>
    <row r="48" spans="3:19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  <c r="M48" s="3"/>
      <c r="N48" s="3"/>
      <c r="O48" s="3"/>
    </row>
    <row r="49" spans="3:15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  <c r="M49" s="3"/>
      <c r="N49" s="3"/>
      <c r="O49" s="3"/>
    </row>
    <row r="50" spans="3:15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5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5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5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5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5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5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5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5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5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5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5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5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5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5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24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24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24.75" customHeight="1">
      <c r="C100" s="1"/>
      <c r="D100" s="1"/>
      <c r="E100" s="1"/>
      <c r="F100" s="1"/>
      <c r="G100" s="1"/>
      <c r="H100" s="1"/>
      <c r="I100" s="2"/>
      <c r="J100" s="40"/>
      <c r="K100" s="40"/>
      <c r="L100" s="40"/>
    </row>
    <row r="101" spans="3:19" ht="24.75" customHeight="1">
      <c r="C101" s="1"/>
      <c r="D101" s="1"/>
      <c r="E101" s="1"/>
      <c r="F101" s="1"/>
      <c r="G101" s="1"/>
      <c r="H101" s="1"/>
      <c r="I101" s="2"/>
      <c r="J101" s="40"/>
      <c r="K101" s="40"/>
      <c r="L101" s="40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0"/>
      <c r="K984" s="40"/>
      <c r="L984" s="40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0"/>
      <c r="K985" s="40"/>
      <c r="L985" s="40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0"/>
      <c r="K986" s="40"/>
      <c r="L986" s="40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0"/>
      <c r="K987" s="40"/>
      <c r="L987" s="40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0"/>
      <c r="K988" s="40"/>
      <c r="L988" s="40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0"/>
      <c r="K989" s="40"/>
      <c r="L989" s="40"/>
      <c r="M989" s="3"/>
      <c r="N989" s="3"/>
      <c r="O989" s="3"/>
      <c r="Q989" s="4"/>
      <c r="R989" s="5"/>
      <c r="S989" s="5"/>
    </row>
  </sheetData>
  <sheetProtection algorithmName="SHA-512" hashValue="OtBLF/tHHH5klijRTc01EynUQ3maV1AJKzeaNQtMkqh3EwLzOjqVZc3Y6evLL+oz2Pi237MLpQvZNHPWvSo9Wg==" saltValue="zqTTHykx+Nb4Kr/qWD0GXw==" spinCount="100000" sheet="1" objects="1" scenarios="1"/>
  <mergeCells count="6">
    <mergeCell ref="D20:K20"/>
    <mergeCell ref="D22:K22"/>
    <mergeCell ref="B2:S2"/>
    <mergeCell ref="M3:O3"/>
    <mergeCell ref="Q3:S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3"/>
  <sheetViews>
    <sheetView topLeftCell="A3" workbookViewId="0">
      <selection activeCell="H5" sqref="H5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customWidth="1"/>
    <col min="4" max="4" width="34" customWidth="1"/>
    <col min="5" max="5" width="18.125" customWidth="1"/>
    <col min="6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78" t="s">
        <v>60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33"/>
      <c r="C3" s="133"/>
      <c r="D3" s="133"/>
      <c r="E3" s="133"/>
      <c r="F3" s="194"/>
      <c r="G3" s="133"/>
      <c r="H3" s="133"/>
      <c r="I3" s="133"/>
      <c r="J3" s="133"/>
      <c r="K3" s="133"/>
      <c r="L3" s="89"/>
      <c r="M3" s="496" t="s">
        <v>0</v>
      </c>
      <c r="N3" s="474"/>
      <c r="O3" s="475"/>
      <c r="P3" s="212" t="s">
        <v>32</v>
      </c>
      <c r="Q3" s="497" t="s">
        <v>33</v>
      </c>
      <c r="R3" s="474"/>
      <c r="S3" s="47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220" t="s">
        <v>34</v>
      </c>
      <c r="C4" s="221" t="s">
        <v>35</v>
      </c>
      <c r="D4" s="222" t="s">
        <v>36</v>
      </c>
      <c r="E4" s="222" t="s">
        <v>37</v>
      </c>
      <c r="F4" s="222" t="s">
        <v>38</v>
      </c>
      <c r="G4" s="223" t="s">
        <v>39</v>
      </c>
      <c r="H4" s="222" t="s">
        <v>40</v>
      </c>
      <c r="I4" s="222" t="s">
        <v>41</v>
      </c>
      <c r="J4" s="499" t="s">
        <v>42</v>
      </c>
      <c r="K4" s="489"/>
      <c r="L4" s="495"/>
      <c r="M4" s="243" t="s">
        <v>4</v>
      </c>
      <c r="N4" s="214" t="s">
        <v>5</v>
      </c>
      <c r="O4" s="215" t="s">
        <v>6</v>
      </c>
      <c r="P4" s="216" t="s">
        <v>4</v>
      </c>
      <c r="Q4" s="217" t="s">
        <v>8</v>
      </c>
      <c r="R4" s="218" t="s">
        <v>9</v>
      </c>
      <c r="S4" s="219" t="s">
        <v>44</v>
      </c>
    </row>
    <row r="5" spans="1:36" ht="33.75" customHeight="1">
      <c r="A5" s="10"/>
      <c r="B5" s="240">
        <v>1</v>
      </c>
      <c r="C5" s="97" t="s">
        <v>350</v>
      </c>
      <c r="D5" s="381" t="s">
        <v>320</v>
      </c>
      <c r="E5" s="455" t="s">
        <v>342</v>
      </c>
      <c r="F5" s="99" t="s">
        <v>358</v>
      </c>
      <c r="G5" s="101" t="s">
        <v>359</v>
      </c>
      <c r="H5" s="177" t="str">
        <f t="shared" ref="H5:H16" si="0">UPPER(G5)</f>
        <v>REPRESENTAR HOSPITAL PARA RECEBIMENTO DE PLACA DE RECONHECIMENTO PRÊMIO AMIGO DO MEIO AMBIENTE</v>
      </c>
      <c r="I5" s="101" t="s">
        <v>127</v>
      </c>
      <c r="J5" s="102">
        <v>45231</v>
      </c>
      <c r="K5" s="99">
        <v>12</v>
      </c>
      <c r="L5" s="103">
        <v>13</v>
      </c>
      <c r="M5" s="326">
        <v>167.75</v>
      </c>
      <c r="N5" s="326">
        <v>65.52</v>
      </c>
      <c r="O5" s="373"/>
      <c r="P5" s="241">
        <v>0</v>
      </c>
      <c r="Q5" s="327">
        <v>4443.2700000000004</v>
      </c>
      <c r="R5" s="307">
        <f>577.5+127.27</f>
        <v>704.77</v>
      </c>
      <c r="S5" s="242">
        <f t="shared" ref="S5:S16" si="1">M5+N5+O5+P5+Q5+R5</f>
        <v>5381.3100000000013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444" customFormat="1" ht="36" customHeight="1">
      <c r="A6" s="10"/>
      <c r="B6" s="240">
        <v>2</v>
      </c>
      <c r="C6" s="97" t="s">
        <v>350</v>
      </c>
      <c r="D6" s="381" t="s">
        <v>360</v>
      </c>
      <c r="E6" s="455" t="s">
        <v>380</v>
      </c>
      <c r="F6" s="99" t="s">
        <v>361</v>
      </c>
      <c r="G6" s="101" t="s">
        <v>359</v>
      </c>
      <c r="H6" s="177" t="str">
        <f t="shared" si="0"/>
        <v>REPRESENTAR HOSPITAL PARA RECEBIMENTO DE PLACA DE RECONHECIMENTO PRÊMIO AMIGO DO MEIO AMBIENTE</v>
      </c>
      <c r="I6" s="101" t="s">
        <v>127</v>
      </c>
      <c r="J6" s="102">
        <v>45231</v>
      </c>
      <c r="K6" s="99">
        <v>12</v>
      </c>
      <c r="L6" s="103">
        <v>13</v>
      </c>
      <c r="M6" s="326">
        <v>113.54</v>
      </c>
      <c r="N6" s="326">
        <v>0</v>
      </c>
      <c r="O6" s="373"/>
      <c r="P6" s="241"/>
      <c r="Q6" s="327">
        <v>4443.2700000000004</v>
      </c>
      <c r="R6" s="307">
        <f>577.5+133.65</f>
        <v>711.15</v>
      </c>
      <c r="S6" s="242">
        <f t="shared" si="1"/>
        <v>5267.96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444" customFormat="1" ht="60" customHeight="1">
      <c r="A7" s="10"/>
      <c r="B7" s="240">
        <v>3</v>
      </c>
      <c r="C7" s="97" t="s">
        <v>351</v>
      </c>
      <c r="D7" s="381" t="s">
        <v>196</v>
      </c>
      <c r="E7" s="455" t="s">
        <v>258</v>
      </c>
      <c r="F7" s="435" t="s">
        <v>362</v>
      </c>
      <c r="G7" s="380" t="s">
        <v>363</v>
      </c>
      <c r="H7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7" s="101" t="s">
        <v>154</v>
      </c>
      <c r="J7" s="305">
        <v>45261</v>
      </c>
      <c r="K7" s="368">
        <v>3</v>
      </c>
      <c r="L7" s="369">
        <v>6</v>
      </c>
      <c r="M7" s="326">
        <v>73.48</v>
      </c>
      <c r="N7" s="326">
        <f>293</f>
        <v>293</v>
      </c>
      <c r="O7" s="373">
        <v>360</v>
      </c>
      <c r="P7" s="241"/>
      <c r="Q7" s="327">
        <v>1491.93</v>
      </c>
      <c r="R7" s="307">
        <v>0</v>
      </c>
      <c r="S7" s="242">
        <f t="shared" si="1"/>
        <v>2218.41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s="444" customFormat="1" ht="60.75" customHeight="1">
      <c r="A8" s="10"/>
      <c r="B8" s="240">
        <v>4</v>
      </c>
      <c r="C8" s="97" t="s">
        <v>351</v>
      </c>
      <c r="D8" s="381" t="s">
        <v>364</v>
      </c>
      <c r="E8" s="455" t="s">
        <v>257</v>
      </c>
      <c r="F8" s="435" t="s">
        <v>365</v>
      </c>
      <c r="G8" s="380" t="s">
        <v>363</v>
      </c>
      <c r="H8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8" s="101" t="s">
        <v>154</v>
      </c>
      <c r="J8" s="305">
        <v>45261</v>
      </c>
      <c r="K8" s="368">
        <v>3</v>
      </c>
      <c r="L8" s="369">
        <v>6</v>
      </c>
      <c r="M8" s="326">
        <v>0</v>
      </c>
      <c r="N8" s="326">
        <f>133</f>
        <v>133</v>
      </c>
      <c r="O8" s="373">
        <v>360</v>
      </c>
      <c r="P8" s="241"/>
      <c r="Q8" s="327">
        <v>1491.93</v>
      </c>
      <c r="R8" s="307">
        <v>0</v>
      </c>
      <c r="S8" s="242">
        <f t="shared" si="1"/>
        <v>1984.93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s="444" customFormat="1" ht="57" customHeight="1">
      <c r="A9" s="10"/>
      <c r="B9" s="240">
        <v>5</v>
      </c>
      <c r="C9" s="97" t="s">
        <v>352</v>
      </c>
      <c r="D9" s="381" t="s">
        <v>77</v>
      </c>
      <c r="E9" s="455" t="s">
        <v>228</v>
      </c>
      <c r="F9" s="435" t="s">
        <v>366</v>
      </c>
      <c r="G9" s="380" t="s">
        <v>363</v>
      </c>
      <c r="H9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9" s="101" t="s">
        <v>154</v>
      </c>
      <c r="J9" s="305">
        <v>45261</v>
      </c>
      <c r="K9" s="368">
        <v>3</v>
      </c>
      <c r="L9" s="369">
        <v>4</v>
      </c>
      <c r="M9" s="326">
        <v>0</v>
      </c>
      <c r="N9" s="326">
        <v>0</v>
      </c>
      <c r="O9" s="373"/>
      <c r="P9" s="241"/>
      <c r="Q9" s="327">
        <f>1011.5+3657.99</f>
        <v>4669.49</v>
      </c>
      <c r="R9" s="307">
        <v>0</v>
      </c>
      <c r="S9" s="242">
        <f t="shared" si="1"/>
        <v>4669.49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s="444" customFormat="1" ht="44.25" customHeight="1">
      <c r="A10" s="10"/>
      <c r="B10" s="240">
        <v>6</v>
      </c>
      <c r="C10" s="97" t="s">
        <v>353</v>
      </c>
      <c r="D10" s="381" t="s">
        <v>367</v>
      </c>
      <c r="E10" s="455" t="s">
        <v>381</v>
      </c>
      <c r="F10" s="435" t="s">
        <v>368</v>
      </c>
      <c r="G10" s="380" t="s">
        <v>363</v>
      </c>
      <c r="H10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10" s="101" t="s">
        <v>154</v>
      </c>
      <c r="J10" s="305">
        <v>45261</v>
      </c>
      <c r="K10" s="368">
        <v>3</v>
      </c>
      <c r="L10" s="369">
        <v>6</v>
      </c>
      <c r="M10" s="326">
        <v>496</v>
      </c>
      <c r="N10" s="326">
        <v>0</v>
      </c>
      <c r="O10" s="373"/>
      <c r="P10" s="241"/>
      <c r="Q10" s="327">
        <v>0</v>
      </c>
      <c r="R10" s="307">
        <v>0</v>
      </c>
      <c r="S10" s="242">
        <f t="shared" si="1"/>
        <v>496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s="444" customFormat="1" ht="57.75" customHeight="1">
      <c r="A11" s="10"/>
      <c r="B11" s="240">
        <v>7</v>
      </c>
      <c r="C11" s="97" t="s">
        <v>354</v>
      </c>
      <c r="D11" s="381" t="s">
        <v>369</v>
      </c>
      <c r="E11" s="455" t="s">
        <v>382</v>
      </c>
      <c r="F11" s="435" t="s">
        <v>370</v>
      </c>
      <c r="G11" s="380" t="s">
        <v>363</v>
      </c>
      <c r="H11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11" s="101" t="s">
        <v>154</v>
      </c>
      <c r="J11" s="305">
        <v>45261</v>
      </c>
      <c r="K11" s="368">
        <v>3</v>
      </c>
      <c r="L11" s="369">
        <v>6</v>
      </c>
      <c r="M11" s="326">
        <v>202.5</v>
      </c>
      <c r="N11" s="326">
        <v>114.61</v>
      </c>
      <c r="O11" s="373"/>
      <c r="P11" s="241"/>
      <c r="Q11" s="327">
        <v>1675.26</v>
      </c>
      <c r="R11" s="307">
        <f>1004.85+16.5</f>
        <v>1021.35</v>
      </c>
      <c r="S11" s="242">
        <f t="shared" si="1"/>
        <v>3013.72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s="444" customFormat="1" ht="59.25" customHeight="1">
      <c r="A12" s="10"/>
      <c r="B12" s="240">
        <v>8</v>
      </c>
      <c r="C12" s="97" t="s">
        <v>355</v>
      </c>
      <c r="D12" s="381" t="s">
        <v>371</v>
      </c>
      <c r="E12" s="455" t="s">
        <v>383</v>
      </c>
      <c r="F12" s="435" t="s">
        <v>372</v>
      </c>
      <c r="G12" s="380" t="s">
        <v>363</v>
      </c>
      <c r="H12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12" s="101" t="s">
        <v>154</v>
      </c>
      <c r="J12" s="305">
        <v>45261</v>
      </c>
      <c r="K12" s="368">
        <v>3</v>
      </c>
      <c r="L12" s="369">
        <v>6</v>
      </c>
      <c r="M12" s="326">
        <v>187</v>
      </c>
      <c r="N12" s="326">
        <v>119.96</v>
      </c>
      <c r="O12" s="373"/>
      <c r="P12" s="241"/>
      <c r="Q12" s="327">
        <v>1675.26</v>
      </c>
      <c r="R12" s="307">
        <f>1004.85+52</f>
        <v>1056.8499999999999</v>
      </c>
      <c r="S12" s="242">
        <f t="shared" si="1"/>
        <v>3039.0699999999997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s="444" customFormat="1" ht="48" customHeight="1">
      <c r="A13" s="10"/>
      <c r="B13" s="240">
        <v>9</v>
      </c>
      <c r="C13" s="97" t="s">
        <v>355</v>
      </c>
      <c r="D13" s="381" t="s">
        <v>373</v>
      </c>
      <c r="E13" s="455" t="s">
        <v>384</v>
      </c>
      <c r="F13" s="435" t="s">
        <v>374</v>
      </c>
      <c r="G13" s="468" t="s">
        <v>363</v>
      </c>
      <c r="H13" s="177" t="str">
        <f t="shared" si="0"/>
        <v>PARTICIPAÇÃO NO SIMPÓSIO DE EVOLUÇÃO DA SAÚDE DIGITAL DA FORÇA AÉREA BRASILEIRA (EVENTO EM PARCERIA DA COMUNIDADE AGHUSE) E PARTICIPAÇÃO NAS REUNIÕES DOS COMITÊS ESTRATÉGICO E TÉCNICO DA COMUNIDADE AGHUSE.</v>
      </c>
      <c r="I13" s="101" t="s">
        <v>154</v>
      </c>
      <c r="J13" s="305">
        <v>45261</v>
      </c>
      <c r="K13" s="368">
        <v>3</v>
      </c>
      <c r="L13" s="369">
        <v>6</v>
      </c>
      <c r="M13" s="326">
        <v>79.900000000000006</v>
      </c>
      <c r="N13" s="326">
        <v>51</v>
      </c>
      <c r="O13" s="373"/>
      <c r="P13" s="241"/>
      <c r="Q13" s="327">
        <v>1675.26</v>
      </c>
      <c r="R13" s="307">
        <f>1004.85+22</f>
        <v>1026.8499999999999</v>
      </c>
      <c r="S13" s="242">
        <f t="shared" si="1"/>
        <v>2833.01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444" customFormat="1" ht="45" customHeight="1">
      <c r="A14" s="10"/>
      <c r="B14" s="240">
        <v>10</v>
      </c>
      <c r="C14" s="97" t="s">
        <v>356</v>
      </c>
      <c r="D14" s="381" t="s">
        <v>375</v>
      </c>
      <c r="E14" s="455" t="s">
        <v>385</v>
      </c>
      <c r="F14" s="468" t="s">
        <v>376</v>
      </c>
      <c r="G14" s="380" t="s">
        <v>377</v>
      </c>
      <c r="H14" s="177" t="str">
        <f t="shared" si="0"/>
        <v>PARTICIPAR DA REUNIÃO DAS SECRETARIAS ESTADUAIS DE SAÚDE PARA APRESENTAÇÃO DO SISTEMA AGHUSE E PROCESSOS DE TRABALHO DO HCPA.</v>
      </c>
      <c r="I14" s="101" t="s">
        <v>126</v>
      </c>
      <c r="J14" s="102">
        <v>45231</v>
      </c>
      <c r="K14" s="368">
        <v>22</v>
      </c>
      <c r="L14" s="369">
        <v>24</v>
      </c>
      <c r="M14" s="326">
        <v>0</v>
      </c>
      <c r="N14" s="326">
        <v>0</v>
      </c>
      <c r="O14" s="373"/>
      <c r="P14" s="241"/>
      <c r="Q14" s="327">
        <f>5982.09+467.36</f>
        <v>6449.45</v>
      </c>
      <c r="R14" s="307">
        <v>0</v>
      </c>
      <c r="S14" s="242">
        <f t="shared" si="1"/>
        <v>6449.45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ht="69.75" customHeight="1">
      <c r="A15" s="10"/>
      <c r="B15" s="44">
        <v>11</v>
      </c>
      <c r="C15" s="97" t="s">
        <v>357</v>
      </c>
      <c r="D15" s="381" t="s">
        <v>378</v>
      </c>
      <c r="E15" s="455" t="s">
        <v>386</v>
      </c>
      <c r="F15" s="380" t="s">
        <v>286</v>
      </c>
      <c r="G15" s="308" t="s">
        <v>379</v>
      </c>
      <c r="H15" s="177" t="str">
        <f t="shared" si="0"/>
        <v>PARTICIPAÇÃO NO LANÇAMENTO DO CADERNO DE DEBATES “BEBIDAS ALCOÓLICAS: DISPONIBILIDADE, MARKETING E DESAFIOS REGULATÓRIOS” E À REUNIÃO TÉCNICA PARA O PLANEJAMENTO DE AÇÕES VOLTADAS PARA A REDUÇÃO DOS DANOS ASSOCIADOS AO ÁLCOOL NO BRASIL</v>
      </c>
      <c r="I15" s="101" t="s">
        <v>113</v>
      </c>
      <c r="J15" s="305">
        <v>45261</v>
      </c>
      <c r="K15" s="368">
        <v>6</v>
      </c>
      <c r="L15" s="369">
        <v>7</v>
      </c>
      <c r="M15" s="326">
        <v>0</v>
      </c>
      <c r="N15" s="326">
        <v>0</v>
      </c>
      <c r="O15" s="470"/>
      <c r="P15" s="50">
        <v>0</v>
      </c>
      <c r="Q15" s="327">
        <v>5089.6000000000004</v>
      </c>
      <c r="R15" s="307">
        <f>1079.15+79.8</f>
        <v>1158.95</v>
      </c>
      <c r="S15" s="242">
        <f t="shared" si="1"/>
        <v>6248.55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22.5" customHeight="1">
      <c r="A16" s="10"/>
      <c r="B16" s="44"/>
      <c r="C16" s="55"/>
      <c r="D16" s="54"/>
      <c r="E16" s="466"/>
      <c r="F16" s="54"/>
      <c r="G16" s="467"/>
      <c r="H16" s="177" t="str">
        <f t="shared" si="0"/>
        <v/>
      </c>
      <c r="I16" s="46"/>
      <c r="J16" s="75"/>
      <c r="K16" s="54"/>
      <c r="L16" s="54"/>
      <c r="M16" s="244"/>
      <c r="N16" s="244"/>
      <c r="O16" s="244"/>
      <c r="P16" s="50"/>
      <c r="Q16" s="51"/>
      <c r="R16" s="52"/>
      <c r="S16" s="53">
        <f t="shared" si="1"/>
        <v>0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24.75" customHeight="1">
      <c r="A17" s="21"/>
      <c r="B17" s="21"/>
      <c r="C17" s="21"/>
      <c r="D17" s="21"/>
      <c r="E17" s="21"/>
      <c r="F17" s="21"/>
      <c r="G17" s="21"/>
      <c r="H17" s="21"/>
      <c r="I17" s="61"/>
      <c r="J17" s="21"/>
      <c r="K17" s="14"/>
      <c r="L17" s="21"/>
      <c r="M17" s="73">
        <f t="shared" ref="M17:R17" si="2">SUM(M5:M16)</f>
        <v>1320.17</v>
      </c>
      <c r="N17" s="73">
        <f t="shared" si="2"/>
        <v>777.09</v>
      </c>
      <c r="O17" s="73">
        <f t="shared" si="2"/>
        <v>720</v>
      </c>
      <c r="P17" s="76">
        <f t="shared" si="2"/>
        <v>0</v>
      </c>
      <c r="Q17" s="90">
        <f t="shared" si="2"/>
        <v>33104.719999999994</v>
      </c>
      <c r="R17" s="91">
        <f t="shared" si="2"/>
        <v>5679.9199999999992</v>
      </c>
      <c r="S17" s="92">
        <f>SUM(S5:S16)+P18</f>
        <v>41601.9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1:36" ht="24.75" customHeight="1">
      <c r="A18" s="24"/>
      <c r="B18" s="24"/>
      <c r="C18" s="24"/>
      <c r="D18" s="476"/>
      <c r="E18" s="472"/>
      <c r="F18" s="472"/>
      <c r="G18" s="472"/>
      <c r="H18" s="472"/>
      <c r="I18" s="472"/>
      <c r="J18" s="472"/>
      <c r="K18" s="472"/>
      <c r="L18" s="24"/>
      <c r="M18" s="25"/>
      <c r="N18" s="25"/>
      <c r="O18" s="66" t="s">
        <v>13</v>
      </c>
      <c r="P18" s="11">
        <f>P17*1%</f>
        <v>0</v>
      </c>
      <c r="Q18" s="24"/>
      <c r="R18" s="24"/>
      <c r="S18" s="29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24.75" customHeight="1">
      <c r="A19" s="24"/>
      <c r="B19" s="24"/>
      <c r="C19" s="24"/>
      <c r="D19" s="59" t="s">
        <v>45</v>
      </c>
      <c r="E19" s="60"/>
      <c r="F19" s="60"/>
      <c r="G19" s="60"/>
      <c r="H19" s="60"/>
      <c r="I19" s="27"/>
      <c r="J19" s="24"/>
      <c r="K19" s="24"/>
      <c r="L19" s="24"/>
      <c r="M19" s="25"/>
      <c r="N19" s="25"/>
      <c r="O19" s="25"/>
      <c r="P19" s="67">
        <f>P17+P18</f>
        <v>0</v>
      </c>
      <c r="Q19" s="28"/>
      <c r="R19" s="29"/>
      <c r="S19" s="68" t="s">
        <v>46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</row>
    <row r="20" spans="1:36" ht="24.75" customHeight="1">
      <c r="A20" s="24"/>
      <c r="B20" s="24"/>
      <c r="C20" s="24"/>
      <c r="D20" s="477"/>
      <c r="E20" s="472"/>
      <c r="F20" s="472"/>
      <c r="G20" s="472"/>
      <c r="H20" s="472"/>
      <c r="I20" s="472"/>
      <c r="J20" s="472"/>
      <c r="K20" s="472"/>
      <c r="L20" s="24"/>
      <c r="M20" s="25"/>
      <c r="N20" s="25"/>
      <c r="O20" s="25"/>
      <c r="P20" s="11"/>
      <c r="Q20" s="4" t="s">
        <v>25</v>
      </c>
      <c r="R20" s="69">
        <f>M17+N17+O17+P19+Q17+R17</f>
        <v>41601.899999999994</v>
      </c>
      <c r="S20" s="34">
        <f>S17-R20</f>
        <v>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66" t="s">
        <v>13</v>
      </c>
      <c r="P21" s="11" t="s">
        <v>47</v>
      </c>
      <c r="Q21" s="4"/>
      <c r="R21" s="5"/>
      <c r="S21" s="5"/>
    </row>
    <row r="22" spans="1:36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11"/>
      <c r="Q22" s="4"/>
      <c r="R22" s="5"/>
      <c r="S22" s="5"/>
    </row>
    <row r="23" spans="1:36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11"/>
      <c r="Q23" s="4"/>
      <c r="R23" s="5"/>
      <c r="S23" s="5"/>
    </row>
    <row r="24" spans="1:36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11"/>
      <c r="Q24" s="4"/>
      <c r="R24" s="5"/>
      <c r="S24" s="5"/>
    </row>
    <row r="25" spans="1:36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  <c r="P25" s="11"/>
      <c r="Q25" s="4"/>
      <c r="R25" s="5"/>
      <c r="S25" s="5"/>
    </row>
    <row r="26" spans="1:36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  <c r="P26" s="11"/>
      <c r="Q26" s="4"/>
      <c r="R26" s="5"/>
      <c r="S26" s="5"/>
    </row>
    <row r="27" spans="1:36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  <c r="P27" s="11"/>
      <c r="Q27" s="4"/>
      <c r="R27" s="5"/>
      <c r="S27" s="5"/>
    </row>
    <row r="28" spans="1:36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  <c r="P28" s="11"/>
      <c r="Q28" s="4"/>
      <c r="R28" s="5"/>
      <c r="S28" s="5"/>
    </row>
    <row r="29" spans="1:36" ht="24.75" customHeight="1">
      <c r="C29" s="1"/>
      <c r="I29" s="2"/>
      <c r="J29" s="40"/>
      <c r="K29" s="40"/>
      <c r="L29" s="40"/>
      <c r="M29" s="3"/>
      <c r="N29" s="3"/>
      <c r="O29" s="3"/>
      <c r="P29" s="11"/>
      <c r="Q29" s="4"/>
      <c r="R29" s="5"/>
      <c r="S29" s="5"/>
    </row>
    <row r="30" spans="1:36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  <c r="P30" s="11"/>
      <c r="Q30" s="4"/>
      <c r="R30" s="5"/>
      <c r="S30" s="5"/>
    </row>
    <row r="31" spans="1:36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  <c r="P31" s="70"/>
      <c r="Q31" s="4"/>
      <c r="R31" s="5"/>
      <c r="S31" s="5"/>
    </row>
    <row r="32" spans="1:36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  <c r="P32" s="24"/>
    </row>
    <row r="33" spans="3:16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  <c r="P33" s="24"/>
    </row>
    <row r="34" spans="3:16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  <c r="P34" s="24"/>
    </row>
    <row r="35" spans="3:16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6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6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6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  <c r="M38" s="3"/>
      <c r="N38" s="3"/>
      <c r="O38" s="3"/>
    </row>
    <row r="39" spans="3:16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  <c r="M39" s="3"/>
      <c r="N39" s="3"/>
      <c r="O39" s="3"/>
    </row>
    <row r="40" spans="3:16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  <c r="M40" s="3"/>
      <c r="N40" s="3"/>
      <c r="O40" s="3"/>
    </row>
    <row r="41" spans="3:16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  <c r="M41" s="3"/>
      <c r="N41" s="3"/>
      <c r="O41" s="3"/>
    </row>
    <row r="42" spans="3:16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  <c r="M42" s="3"/>
      <c r="N42" s="3"/>
      <c r="O42" s="3"/>
    </row>
    <row r="43" spans="3:16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  <c r="M43" s="3"/>
      <c r="N43" s="3"/>
      <c r="O43" s="3"/>
    </row>
    <row r="44" spans="3:16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  <c r="M44" s="3"/>
      <c r="N44" s="3"/>
      <c r="O44" s="3"/>
    </row>
    <row r="45" spans="3:16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  <c r="M45" s="3"/>
      <c r="N45" s="3"/>
      <c r="O45" s="3"/>
    </row>
    <row r="46" spans="3:16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  <c r="M46" s="3"/>
      <c r="N46" s="3"/>
      <c r="O46" s="3"/>
    </row>
    <row r="47" spans="3:16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  <c r="M47" s="3"/>
      <c r="N47" s="3"/>
      <c r="O47" s="3"/>
    </row>
    <row r="48" spans="3:16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2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2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2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2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2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2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2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2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2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2" ht="24.75" customHeight="1">
      <c r="C90" s="1"/>
      <c r="D90" s="1"/>
      <c r="E90" s="1"/>
      <c r="F90" s="1"/>
      <c r="G90" s="1"/>
      <c r="H90" s="1"/>
      <c r="I90" s="2"/>
      <c r="J90" s="40"/>
      <c r="K90" s="40"/>
      <c r="L90" s="40"/>
    </row>
    <row r="91" spans="3:12" ht="24.75" customHeight="1">
      <c r="C91" s="1"/>
      <c r="D91" s="1"/>
      <c r="E91" s="1"/>
      <c r="F91" s="1"/>
      <c r="G91" s="1"/>
      <c r="H91" s="1"/>
      <c r="I91" s="2"/>
      <c r="J91" s="40"/>
      <c r="K91" s="40"/>
      <c r="L91" s="40"/>
    </row>
    <row r="92" spans="3:12" ht="24.75" customHeight="1">
      <c r="C92" s="1"/>
      <c r="D92" s="1"/>
      <c r="E92" s="1"/>
      <c r="F92" s="1"/>
      <c r="G92" s="1"/>
      <c r="H92" s="1"/>
      <c r="I92" s="2"/>
      <c r="J92" s="40"/>
      <c r="K92" s="40"/>
      <c r="L92" s="40"/>
    </row>
    <row r="93" spans="3:12" ht="24.75" customHeight="1">
      <c r="C93" s="1"/>
      <c r="D93" s="1"/>
      <c r="E93" s="1"/>
      <c r="F93" s="1"/>
      <c r="G93" s="1"/>
      <c r="H93" s="1"/>
      <c r="I93" s="2"/>
      <c r="J93" s="40"/>
      <c r="K93" s="40"/>
      <c r="L93" s="40"/>
    </row>
    <row r="94" spans="3:12" ht="24.75" customHeight="1">
      <c r="C94" s="1"/>
      <c r="D94" s="1"/>
      <c r="E94" s="1"/>
      <c r="F94" s="1"/>
      <c r="G94" s="1"/>
      <c r="H94" s="1"/>
      <c r="I94" s="2"/>
      <c r="J94" s="40"/>
      <c r="K94" s="40"/>
      <c r="L94" s="40"/>
    </row>
    <row r="95" spans="3:12" ht="24.75" customHeight="1">
      <c r="C95" s="1"/>
      <c r="D95" s="1"/>
      <c r="E95" s="1"/>
      <c r="F95" s="1"/>
      <c r="G95" s="1"/>
      <c r="H95" s="1"/>
      <c r="I95" s="2"/>
      <c r="J95" s="40"/>
      <c r="K95" s="40"/>
      <c r="L95" s="40"/>
    </row>
    <row r="96" spans="3:12" ht="24.75" customHeight="1">
      <c r="C96" s="1"/>
      <c r="D96" s="1"/>
      <c r="E96" s="1"/>
      <c r="F96" s="1"/>
      <c r="G96" s="1"/>
      <c r="H96" s="1"/>
      <c r="I96" s="2"/>
      <c r="J96" s="40"/>
      <c r="K96" s="40"/>
      <c r="L96" s="40"/>
    </row>
    <row r="97" spans="3:19" ht="24.75" customHeight="1">
      <c r="C97" s="1"/>
      <c r="D97" s="1"/>
      <c r="E97" s="1"/>
      <c r="F97" s="1"/>
      <c r="G97" s="1"/>
      <c r="H97" s="1"/>
      <c r="I97" s="2"/>
      <c r="J97" s="40"/>
      <c r="K97" s="40"/>
      <c r="L97" s="40"/>
    </row>
    <row r="98" spans="3:19" ht="24.75" customHeight="1">
      <c r="C98" s="1"/>
      <c r="D98" s="1"/>
      <c r="E98" s="1"/>
      <c r="F98" s="1"/>
      <c r="G98" s="1"/>
      <c r="H98" s="1"/>
      <c r="I98" s="2"/>
      <c r="J98" s="40"/>
      <c r="K98" s="40"/>
      <c r="L98" s="40"/>
    </row>
    <row r="99" spans="3:19" ht="24.75" customHeight="1">
      <c r="C99" s="1"/>
      <c r="D99" s="1"/>
      <c r="E99" s="1"/>
      <c r="F99" s="1"/>
      <c r="G99" s="1"/>
      <c r="H99" s="1"/>
      <c r="I99" s="2"/>
      <c r="J99" s="40"/>
      <c r="K99" s="40"/>
      <c r="L99" s="40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0"/>
      <c r="K974" s="40"/>
      <c r="L974" s="40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0"/>
      <c r="K975" s="40"/>
      <c r="L975" s="40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0"/>
      <c r="K976" s="40"/>
      <c r="L976" s="40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0"/>
      <c r="K977" s="40"/>
      <c r="L977" s="40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0"/>
      <c r="K978" s="40"/>
      <c r="L978" s="40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0"/>
      <c r="K979" s="40"/>
      <c r="L979" s="40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0"/>
      <c r="K980" s="40"/>
      <c r="L980" s="40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0"/>
      <c r="K981" s="40"/>
      <c r="L981" s="40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0"/>
      <c r="K982" s="40"/>
      <c r="L982" s="40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0"/>
      <c r="K983" s="40"/>
      <c r="L983" s="40"/>
      <c r="M983" s="3"/>
      <c r="N983" s="3"/>
      <c r="O983" s="3"/>
      <c r="Q983" s="4"/>
      <c r="R983" s="5"/>
      <c r="S983" s="5"/>
    </row>
  </sheetData>
  <sheetProtection algorithmName="SHA-512" hashValue="DOB1TA8Ht/YDA8ETFVOdv61As3A+7UKMChIb6yb1DJCTOTClw45DLJJpedYf9XZqkdGT3UfkH4ydEkmLyRd1Qg==" saltValue="VfO1ZgrKwdnA2WOIrv2skQ==" spinCount="100000" sheet="1" objects="1" scenarios="1"/>
  <mergeCells count="6">
    <mergeCell ref="D20:K20"/>
    <mergeCell ref="B2:S2"/>
    <mergeCell ref="M3:O3"/>
    <mergeCell ref="Q3:S3"/>
    <mergeCell ref="J4:L4"/>
    <mergeCell ref="D18:K18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3"/>
  <sheetViews>
    <sheetView tabSelected="1" topLeftCell="H1" workbookViewId="0">
      <selection activeCell="T11" sqref="T11"/>
    </sheetView>
  </sheetViews>
  <sheetFormatPr defaultColWidth="12.625" defaultRowHeight="14.25"/>
  <cols>
    <col min="1" max="1" width="2.375" style="254" customWidth="1"/>
    <col min="2" max="2" width="6.5" style="254" customWidth="1"/>
    <col min="3" max="3" width="19.875" style="254" hidden="1" customWidth="1"/>
    <col min="4" max="4" width="34" style="254" customWidth="1"/>
    <col min="5" max="5" width="18.125" style="254" customWidth="1"/>
    <col min="6" max="6" width="34" style="254" customWidth="1"/>
    <col min="7" max="7" width="34" style="254" hidden="1" customWidth="1"/>
    <col min="8" max="8" width="34" style="254" customWidth="1"/>
    <col min="9" max="9" width="22.375" style="254" customWidth="1"/>
    <col min="10" max="12" width="8" style="254" customWidth="1"/>
    <col min="13" max="15" width="12.375" style="254" customWidth="1"/>
    <col min="16" max="16" width="11.875" style="254" customWidth="1"/>
    <col min="17" max="17" width="14.25" style="254" customWidth="1"/>
    <col min="18" max="18" width="13" style="254" customWidth="1"/>
    <col min="19" max="19" width="15.75" style="254" customWidth="1"/>
    <col min="20" max="36" width="7.625" style="254" customWidth="1"/>
    <col min="37" max="16384" width="12.625" style="254"/>
  </cols>
  <sheetData>
    <row r="1" spans="1:36" ht="24.75" customHeight="1">
      <c r="C1" s="1"/>
      <c r="I1" s="2"/>
      <c r="J1" s="40"/>
      <c r="K1" s="40"/>
      <c r="L1" s="40"/>
      <c r="M1" s="3"/>
      <c r="N1" s="3"/>
      <c r="O1" s="3"/>
      <c r="Q1" s="4"/>
      <c r="R1" s="5"/>
      <c r="S1" s="5"/>
    </row>
    <row r="2" spans="1:36" ht="24.75" customHeight="1" thickBot="1">
      <c r="A2" s="41"/>
      <c r="B2" s="478" t="s">
        <v>61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1"/>
      <c r="B3" s="133"/>
      <c r="C3" s="133"/>
      <c r="D3" s="133"/>
      <c r="E3" s="133"/>
      <c r="F3" s="195"/>
      <c r="G3" s="133"/>
      <c r="H3" s="133"/>
      <c r="I3" s="133"/>
      <c r="J3" s="133"/>
      <c r="K3" s="133"/>
      <c r="L3" s="89"/>
      <c r="M3" s="496" t="s">
        <v>0</v>
      </c>
      <c r="N3" s="474"/>
      <c r="O3" s="475"/>
      <c r="P3" s="212" t="s">
        <v>32</v>
      </c>
      <c r="Q3" s="497" t="s">
        <v>33</v>
      </c>
      <c r="R3" s="474"/>
      <c r="S3" s="47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220" t="s">
        <v>34</v>
      </c>
      <c r="C4" s="221" t="s">
        <v>35</v>
      </c>
      <c r="D4" s="222" t="s">
        <v>36</v>
      </c>
      <c r="E4" s="222" t="s">
        <v>37</v>
      </c>
      <c r="F4" s="222" t="s">
        <v>38</v>
      </c>
      <c r="G4" s="223" t="s">
        <v>39</v>
      </c>
      <c r="H4" s="222" t="s">
        <v>40</v>
      </c>
      <c r="I4" s="222" t="s">
        <v>41</v>
      </c>
      <c r="J4" s="499" t="s">
        <v>42</v>
      </c>
      <c r="K4" s="489"/>
      <c r="L4" s="495"/>
      <c r="M4" s="243" t="s">
        <v>4</v>
      </c>
      <c r="N4" s="214" t="s">
        <v>5</v>
      </c>
      <c r="O4" s="215" t="s">
        <v>6</v>
      </c>
      <c r="P4" s="216" t="s">
        <v>4</v>
      </c>
      <c r="Q4" s="217" t="s">
        <v>8</v>
      </c>
      <c r="R4" s="218" t="s">
        <v>9</v>
      </c>
      <c r="S4" s="219" t="s">
        <v>44</v>
      </c>
    </row>
    <row r="5" spans="1:36" ht="22.5" customHeight="1">
      <c r="A5" s="10"/>
      <c r="B5" s="502">
        <v>1</v>
      </c>
      <c r="C5" s="325" t="s">
        <v>387</v>
      </c>
      <c r="D5" s="381" t="s">
        <v>118</v>
      </c>
      <c r="E5" s="382" t="s">
        <v>238</v>
      </c>
      <c r="F5" s="99" t="s">
        <v>119</v>
      </c>
      <c r="G5" s="380" t="s">
        <v>388</v>
      </c>
      <c r="H5" s="503" t="str">
        <f>UPPER(G5)</f>
        <v>ASSEMBLEIA GERAL EXTRAORDINÁRIA Nº 033</v>
      </c>
      <c r="I5" s="101" t="s">
        <v>126</v>
      </c>
      <c r="J5" s="305">
        <v>45292</v>
      </c>
      <c r="K5" s="99">
        <v>19</v>
      </c>
      <c r="L5" s="103">
        <v>19</v>
      </c>
      <c r="M5" s="326">
        <v>119.25</v>
      </c>
      <c r="N5" s="326">
        <v>0</v>
      </c>
      <c r="O5" s="504"/>
      <c r="P5" s="505">
        <v>0</v>
      </c>
      <c r="Q5" s="327">
        <f>1802.58+1677.76</f>
        <v>3480.34</v>
      </c>
      <c r="R5" s="506"/>
      <c r="S5" s="507">
        <f t="shared" ref="S5:S6" si="0">M5+N5+O5+P5+Q5+R5</f>
        <v>3599.59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22.5" customHeight="1" thickBot="1">
      <c r="A6" s="10"/>
      <c r="B6" s="286">
        <v>2</v>
      </c>
      <c r="C6" s="287"/>
      <c r="D6" s="288"/>
      <c r="E6" s="284"/>
      <c r="F6" s="289"/>
      <c r="G6" s="285"/>
      <c r="H6" s="290" t="str">
        <f t="shared" ref="H6" si="1">UPPER(G6)</f>
        <v/>
      </c>
      <c r="I6" s="291"/>
      <c r="J6" s="292"/>
      <c r="K6" s="289"/>
      <c r="L6" s="293"/>
      <c r="M6" s="294"/>
      <c r="N6" s="294"/>
      <c r="O6" s="295"/>
      <c r="P6" s="296">
        <v>0</v>
      </c>
      <c r="Q6" s="297"/>
      <c r="R6" s="298"/>
      <c r="S6" s="175">
        <f t="shared" si="0"/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4.75" customHeight="1">
      <c r="A7" s="21"/>
      <c r="B7" s="21"/>
      <c r="C7" s="21"/>
      <c r="D7" s="21"/>
      <c r="E7" s="21"/>
      <c r="F7" s="21"/>
      <c r="G7" s="21"/>
      <c r="H7" s="21"/>
      <c r="I7" s="61"/>
      <c r="J7" s="21"/>
      <c r="K7" s="14"/>
      <c r="L7" s="21"/>
      <c r="M7" s="73">
        <f t="shared" ref="M7:R7" si="2">SUM(M5:M6)</f>
        <v>119.25</v>
      </c>
      <c r="N7" s="73">
        <f t="shared" si="2"/>
        <v>0</v>
      </c>
      <c r="O7" s="73">
        <f t="shared" si="2"/>
        <v>0</v>
      </c>
      <c r="P7" s="76">
        <f t="shared" si="2"/>
        <v>0</v>
      </c>
      <c r="Q7" s="90">
        <f t="shared" si="2"/>
        <v>3480.34</v>
      </c>
      <c r="R7" s="91">
        <f t="shared" si="2"/>
        <v>0</v>
      </c>
      <c r="S7" s="92">
        <f>SUM(S5:S6)+P8</f>
        <v>3599.59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6" ht="24.75" customHeight="1" thickBot="1">
      <c r="A8" s="24"/>
      <c r="B8" s="24"/>
      <c r="C8" s="24"/>
      <c r="D8" s="476"/>
      <c r="E8" s="472"/>
      <c r="F8" s="472"/>
      <c r="G8" s="472"/>
      <c r="H8" s="472"/>
      <c r="I8" s="472"/>
      <c r="J8" s="472"/>
      <c r="K8" s="472"/>
      <c r="L8" s="24"/>
      <c r="M8" s="25"/>
      <c r="N8" s="25"/>
      <c r="O8" s="66" t="s">
        <v>13</v>
      </c>
      <c r="P8" s="11">
        <f>P7*1%</f>
        <v>0</v>
      </c>
      <c r="Q8" s="24"/>
      <c r="R8" s="24"/>
      <c r="S8" s="29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24.75" customHeight="1" thickBot="1">
      <c r="A9" s="24"/>
      <c r="B9" s="24"/>
      <c r="C9" s="24"/>
      <c r="D9" s="59" t="s">
        <v>45</v>
      </c>
      <c r="E9" s="60"/>
      <c r="F9" s="60"/>
      <c r="G9" s="60"/>
      <c r="H9" s="60"/>
      <c r="I9" s="27"/>
      <c r="J9" s="24"/>
      <c r="K9" s="24"/>
      <c r="L9" s="24"/>
      <c r="M9" s="25"/>
      <c r="N9" s="25"/>
      <c r="O9" s="25"/>
      <c r="P9" s="67">
        <f>P7+P8</f>
        <v>0</v>
      </c>
      <c r="Q9" s="28"/>
      <c r="R9" s="29"/>
      <c r="S9" s="68" t="s">
        <v>46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36" ht="24.75" customHeight="1">
      <c r="A10" s="24"/>
      <c r="B10" s="24"/>
      <c r="C10" s="24"/>
      <c r="D10" s="477"/>
      <c r="E10" s="472"/>
      <c r="F10" s="472"/>
      <c r="G10" s="472"/>
      <c r="H10" s="472"/>
      <c r="I10" s="472"/>
      <c r="J10" s="472"/>
      <c r="K10" s="472"/>
      <c r="L10" s="24"/>
      <c r="M10" s="25"/>
      <c r="N10" s="25"/>
      <c r="O10" s="25"/>
      <c r="P10" s="11"/>
      <c r="Q10" s="4" t="s">
        <v>25</v>
      </c>
      <c r="R10" s="69">
        <f>M7+N7+O7+P9+Q7+R7</f>
        <v>3599.59</v>
      </c>
      <c r="S10" s="34">
        <f>S7-R10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24.75" customHeight="1">
      <c r="C11" s="1"/>
      <c r="D11" s="1"/>
      <c r="E11" s="1"/>
      <c r="F11" s="1"/>
      <c r="G11" s="1"/>
      <c r="H11" s="1"/>
      <c r="I11" s="2"/>
      <c r="J11" s="40"/>
      <c r="K11" s="40"/>
      <c r="L11" s="40"/>
      <c r="M11" s="3"/>
      <c r="N11" s="3"/>
      <c r="O11" s="66" t="s">
        <v>13</v>
      </c>
      <c r="P11" s="11" t="s">
        <v>47</v>
      </c>
      <c r="Q11" s="4"/>
      <c r="R11" s="5"/>
      <c r="S11" s="5"/>
    </row>
    <row r="12" spans="1:36" ht="24.75" customHeight="1">
      <c r="C12" s="1"/>
      <c r="D12" s="1"/>
      <c r="E12" s="1"/>
      <c r="F12" s="1"/>
      <c r="G12" s="1"/>
      <c r="H12" s="1"/>
      <c r="I12" s="2"/>
      <c r="J12" s="40"/>
      <c r="K12" s="40"/>
      <c r="L12" s="40"/>
      <c r="M12" s="3"/>
      <c r="N12" s="3"/>
      <c r="O12" s="3"/>
      <c r="P12" s="11"/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0"/>
      <c r="K13" s="40"/>
      <c r="L13" s="40"/>
      <c r="M13" s="3"/>
      <c r="N13" s="3"/>
      <c r="O13" s="3"/>
      <c r="P13" s="11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0"/>
      <c r="K14" s="40"/>
      <c r="L14" s="40"/>
      <c r="M14" s="3"/>
      <c r="N14" s="3"/>
      <c r="O14" s="3"/>
      <c r="P14" s="11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0"/>
      <c r="K15" s="40"/>
      <c r="L15" s="40"/>
      <c r="M15" s="3"/>
      <c r="N15" s="3"/>
      <c r="O15" s="3"/>
      <c r="P15" s="11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0"/>
      <c r="K16" s="40"/>
      <c r="L16" s="40"/>
      <c r="M16" s="3"/>
      <c r="N16" s="3"/>
      <c r="O16" s="3"/>
      <c r="P16" s="11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0"/>
      <c r="K17" s="40"/>
      <c r="L17" s="40"/>
      <c r="M17" s="3"/>
      <c r="N17" s="3"/>
      <c r="O17" s="3"/>
      <c r="P17" s="11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0"/>
      <c r="K18" s="40"/>
      <c r="L18" s="40"/>
      <c r="M18" s="3"/>
      <c r="N18" s="3"/>
      <c r="O18" s="3"/>
      <c r="P18" s="11"/>
      <c r="Q18" s="4"/>
      <c r="R18" s="5"/>
      <c r="S18" s="5"/>
    </row>
    <row r="19" spans="3:19" ht="24.75" customHeight="1">
      <c r="C19" s="1"/>
      <c r="I19" s="2"/>
      <c r="J19" s="40"/>
      <c r="K19" s="40"/>
      <c r="L19" s="40"/>
      <c r="M19" s="3"/>
      <c r="N19" s="3"/>
      <c r="O19" s="3"/>
      <c r="P19" s="11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0"/>
      <c r="K20" s="40"/>
      <c r="L20" s="40"/>
      <c r="M20" s="3"/>
      <c r="N20" s="3"/>
      <c r="O20" s="3"/>
      <c r="P20" s="11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0"/>
      <c r="K21" s="40"/>
      <c r="L21" s="40"/>
      <c r="M21" s="3"/>
      <c r="N21" s="3"/>
      <c r="O21" s="3"/>
      <c r="P21" s="70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0"/>
      <c r="K22" s="40"/>
      <c r="L22" s="40"/>
      <c r="M22" s="3"/>
      <c r="N22" s="3"/>
      <c r="O22" s="3"/>
      <c r="P22" s="24"/>
    </row>
    <row r="23" spans="3:19" ht="24.75" customHeight="1">
      <c r="C23" s="1"/>
      <c r="D23" s="1"/>
      <c r="E23" s="1"/>
      <c r="F23" s="1"/>
      <c r="G23" s="1"/>
      <c r="H23" s="1"/>
      <c r="I23" s="2"/>
      <c r="J23" s="40"/>
      <c r="K23" s="40"/>
      <c r="L23" s="40"/>
      <c r="M23" s="3"/>
      <c r="N23" s="3"/>
      <c r="O23" s="3"/>
      <c r="P23" s="24"/>
    </row>
    <row r="24" spans="3:19" ht="24.75" customHeight="1">
      <c r="C24" s="1"/>
      <c r="D24" s="1"/>
      <c r="E24" s="1"/>
      <c r="F24" s="1"/>
      <c r="G24" s="1"/>
      <c r="H24" s="1"/>
      <c r="I24" s="2"/>
      <c r="J24" s="40"/>
      <c r="K24" s="40"/>
      <c r="L24" s="40"/>
      <c r="M24" s="3"/>
      <c r="N24" s="3"/>
      <c r="O24" s="3"/>
      <c r="P24" s="24"/>
    </row>
    <row r="25" spans="3:19" ht="24.75" customHeight="1">
      <c r="C25" s="1"/>
      <c r="D25" s="1"/>
      <c r="E25" s="1"/>
      <c r="F25" s="1"/>
      <c r="G25" s="1"/>
      <c r="H25" s="1"/>
      <c r="I25" s="2"/>
      <c r="J25" s="40"/>
      <c r="K25" s="40"/>
      <c r="L25" s="40"/>
      <c r="M25" s="3"/>
      <c r="N25" s="3"/>
      <c r="O25" s="3"/>
    </row>
    <row r="26" spans="3:19" ht="24.75" customHeight="1">
      <c r="C26" s="1"/>
      <c r="D26" s="1"/>
      <c r="E26" s="1"/>
      <c r="F26" s="1"/>
      <c r="G26" s="1"/>
      <c r="H26" s="1"/>
      <c r="I26" s="2"/>
      <c r="J26" s="40"/>
      <c r="K26" s="40"/>
      <c r="L26" s="40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0"/>
      <c r="K27" s="40"/>
      <c r="L27" s="40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0"/>
      <c r="K28" s="40"/>
      <c r="L28" s="40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0"/>
      <c r="K29" s="40"/>
      <c r="L29" s="40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0"/>
      <c r="K30" s="40"/>
      <c r="L30" s="40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0"/>
      <c r="K31" s="40"/>
      <c r="L31" s="40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0"/>
      <c r="K32" s="40"/>
      <c r="L32" s="40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0"/>
      <c r="K33" s="40"/>
      <c r="L33" s="40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0"/>
      <c r="K34" s="40"/>
      <c r="L34" s="40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0"/>
      <c r="K35" s="40"/>
      <c r="L35" s="40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0"/>
      <c r="K36" s="40"/>
      <c r="L36" s="40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0"/>
      <c r="K37" s="40"/>
      <c r="L37" s="40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0"/>
      <c r="K38" s="40"/>
      <c r="L38" s="40"/>
    </row>
    <row r="39" spans="3:15" ht="24.75" customHeight="1">
      <c r="C39" s="1"/>
      <c r="D39" s="1"/>
      <c r="E39" s="1"/>
      <c r="F39" s="1"/>
      <c r="G39" s="1"/>
      <c r="H39" s="1"/>
      <c r="I39" s="2"/>
      <c r="J39" s="40"/>
      <c r="K39" s="40"/>
      <c r="L39" s="40"/>
    </row>
    <row r="40" spans="3:15" ht="24.75" customHeight="1">
      <c r="C40" s="1"/>
      <c r="D40" s="1"/>
      <c r="E40" s="1"/>
      <c r="F40" s="1"/>
      <c r="G40" s="1"/>
      <c r="H40" s="1"/>
      <c r="I40" s="2"/>
      <c r="J40" s="40"/>
      <c r="K40" s="40"/>
      <c r="L40" s="40"/>
    </row>
    <row r="41" spans="3:15" ht="24.75" customHeight="1">
      <c r="C41" s="1"/>
      <c r="D41" s="1"/>
      <c r="E41" s="1"/>
      <c r="F41" s="1"/>
      <c r="G41" s="1"/>
      <c r="H41" s="1"/>
      <c r="I41" s="2"/>
      <c r="J41" s="40"/>
      <c r="K41" s="40"/>
      <c r="L41" s="40"/>
    </row>
    <row r="42" spans="3:15" ht="24.75" customHeight="1">
      <c r="C42" s="1"/>
      <c r="D42" s="1"/>
      <c r="E42" s="1"/>
      <c r="F42" s="1"/>
      <c r="G42" s="1"/>
      <c r="H42" s="1"/>
      <c r="I42" s="2"/>
      <c r="J42" s="40"/>
      <c r="K42" s="40"/>
      <c r="L42" s="40"/>
    </row>
    <row r="43" spans="3:15" ht="24.75" customHeight="1">
      <c r="C43" s="1"/>
      <c r="D43" s="1"/>
      <c r="E43" s="1"/>
      <c r="F43" s="1"/>
      <c r="G43" s="1"/>
      <c r="H43" s="1"/>
      <c r="I43" s="2"/>
      <c r="J43" s="40"/>
      <c r="K43" s="40"/>
      <c r="L43" s="40"/>
    </row>
    <row r="44" spans="3:15" ht="24.75" customHeight="1">
      <c r="C44" s="1"/>
      <c r="D44" s="1"/>
      <c r="E44" s="1"/>
      <c r="F44" s="1"/>
      <c r="G44" s="1"/>
      <c r="H44" s="1"/>
      <c r="I44" s="2"/>
      <c r="J44" s="40"/>
      <c r="K44" s="40"/>
      <c r="L44" s="40"/>
    </row>
    <row r="45" spans="3:15" ht="24.75" customHeight="1">
      <c r="C45" s="1"/>
      <c r="D45" s="1"/>
      <c r="E45" s="1"/>
      <c r="F45" s="1"/>
      <c r="G45" s="1"/>
      <c r="H45" s="1"/>
      <c r="I45" s="2"/>
      <c r="J45" s="40"/>
      <c r="K45" s="40"/>
      <c r="L45" s="40"/>
    </row>
    <row r="46" spans="3:15" ht="24.75" customHeight="1">
      <c r="C46" s="1"/>
      <c r="D46" s="1"/>
      <c r="E46" s="1"/>
      <c r="F46" s="1"/>
      <c r="G46" s="1"/>
      <c r="H46" s="1"/>
      <c r="I46" s="2"/>
      <c r="J46" s="40"/>
      <c r="K46" s="40"/>
      <c r="L46" s="40"/>
    </row>
    <row r="47" spans="3:15" ht="24.75" customHeight="1">
      <c r="C47" s="1"/>
      <c r="D47" s="1"/>
      <c r="E47" s="1"/>
      <c r="F47" s="1"/>
      <c r="G47" s="1"/>
      <c r="H47" s="1"/>
      <c r="I47" s="2"/>
      <c r="J47" s="40"/>
      <c r="K47" s="40"/>
      <c r="L47" s="40"/>
    </row>
    <row r="48" spans="3:15" ht="24.75" customHeight="1">
      <c r="C48" s="1"/>
      <c r="D48" s="1"/>
      <c r="E48" s="1"/>
      <c r="F48" s="1"/>
      <c r="G48" s="1"/>
      <c r="H48" s="1"/>
      <c r="I48" s="2"/>
      <c r="J48" s="40"/>
      <c r="K48" s="40"/>
      <c r="L48" s="40"/>
    </row>
    <row r="49" spans="3:12" ht="24.75" customHeight="1">
      <c r="C49" s="1"/>
      <c r="D49" s="1"/>
      <c r="E49" s="1"/>
      <c r="F49" s="1"/>
      <c r="G49" s="1"/>
      <c r="H49" s="1"/>
      <c r="I49" s="2"/>
      <c r="J49" s="40"/>
      <c r="K49" s="40"/>
      <c r="L49" s="40"/>
    </row>
    <row r="50" spans="3:12" ht="24.75" customHeight="1">
      <c r="C50" s="1"/>
      <c r="D50" s="1"/>
      <c r="E50" s="1"/>
      <c r="F50" s="1"/>
      <c r="G50" s="1"/>
      <c r="H50" s="1"/>
      <c r="I50" s="2"/>
      <c r="J50" s="40"/>
      <c r="K50" s="40"/>
      <c r="L50" s="40"/>
    </row>
    <row r="51" spans="3:12" ht="24.75" customHeight="1">
      <c r="C51" s="1"/>
      <c r="D51" s="1"/>
      <c r="E51" s="1"/>
      <c r="F51" s="1"/>
      <c r="G51" s="1"/>
      <c r="H51" s="1"/>
      <c r="I51" s="2"/>
      <c r="J51" s="40"/>
      <c r="K51" s="40"/>
      <c r="L51" s="40"/>
    </row>
    <row r="52" spans="3:12" ht="24.75" customHeight="1">
      <c r="C52" s="1"/>
      <c r="D52" s="1"/>
      <c r="E52" s="1"/>
      <c r="F52" s="1"/>
      <c r="G52" s="1"/>
      <c r="H52" s="1"/>
      <c r="I52" s="2"/>
      <c r="J52" s="40"/>
      <c r="K52" s="40"/>
      <c r="L52" s="40"/>
    </row>
    <row r="53" spans="3:12" ht="24.75" customHeight="1">
      <c r="C53" s="1"/>
      <c r="D53" s="1"/>
      <c r="E53" s="1"/>
      <c r="F53" s="1"/>
      <c r="G53" s="1"/>
      <c r="H53" s="1"/>
      <c r="I53" s="2"/>
      <c r="J53" s="40"/>
      <c r="K53" s="40"/>
      <c r="L53" s="40"/>
    </row>
    <row r="54" spans="3:12" ht="24.75" customHeight="1">
      <c r="C54" s="1"/>
      <c r="D54" s="1"/>
      <c r="E54" s="1"/>
      <c r="F54" s="1"/>
      <c r="G54" s="1"/>
      <c r="H54" s="1"/>
      <c r="I54" s="2"/>
      <c r="J54" s="40"/>
      <c r="K54" s="40"/>
      <c r="L54" s="40"/>
    </row>
    <row r="55" spans="3:12" ht="24.75" customHeight="1">
      <c r="C55" s="1"/>
      <c r="D55" s="1"/>
      <c r="E55" s="1"/>
      <c r="F55" s="1"/>
      <c r="G55" s="1"/>
      <c r="H55" s="1"/>
      <c r="I55" s="2"/>
      <c r="J55" s="40"/>
      <c r="K55" s="40"/>
      <c r="L55" s="40"/>
    </row>
    <row r="56" spans="3:12" ht="24.75" customHeight="1">
      <c r="C56" s="1"/>
      <c r="D56" s="1"/>
      <c r="E56" s="1"/>
      <c r="F56" s="1"/>
      <c r="G56" s="1"/>
      <c r="H56" s="1"/>
      <c r="I56" s="2"/>
      <c r="J56" s="40"/>
      <c r="K56" s="40"/>
      <c r="L56" s="40"/>
    </row>
    <row r="57" spans="3:12" ht="24.75" customHeight="1">
      <c r="C57" s="1"/>
      <c r="D57" s="1"/>
      <c r="E57" s="1"/>
      <c r="F57" s="1"/>
      <c r="G57" s="1"/>
      <c r="H57" s="1"/>
      <c r="I57" s="2"/>
      <c r="J57" s="40"/>
      <c r="K57" s="40"/>
      <c r="L57" s="40"/>
    </row>
    <row r="58" spans="3:12" ht="24.75" customHeight="1">
      <c r="C58" s="1"/>
      <c r="D58" s="1"/>
      <c r="E58" s="1"/>
      <c r="F58" s="1"/>
      <c r="G58" s="1"/>
      <c r="H58" s="1"/>
      <c r="I58" s="2"/>
      <c r="J58" s="40"/>
      <c r="K58" s="40"/>
      <c r="L58" s="40"/>
    </row>
    <row r="59" spans="3:12" ht="24.75" customHeight="1">
      <c r="C59" s="1"/>
      <c r="D59" s="1"/>
      <c r="E59" s="1"/>
      <c r="F59" s="1"/>
      <c r="G59" s="1"/>
      <c r="H59" s="1"/>
      <c r="I59" s="2"/>
      <c r="J59" s="40"/>
      <c r="K59" s="40"/>
      <c r="L59" s="40"/>
    </row>
    <row r="60" spans="3:12" ht="24.75" customHeight="1">
      <c r="C60" s="1"/>
      <c r="D60" s="1"/>
      <c r="E60" s="1"/>
      <c r="F60" s="1"/>
      <c r="G60" s="1"/>
      <c r="H60" s="1"/>
      <c r="I60" s="2"/>
      <c r="J60" s="40"/>
      <c r="K60" s="40"/>
      <c r="L60" s="40"/>
    </row>
    <row r="61" spans="3:12" ht="24.75" customHeight="1">
      <c r="C61" s="1"/>
      <c r="D61" s="1"/>
      <c r="E61" s="1"/>
      <c r="F61" s="1"/>
      <c r="G61" s="1"/>
      <c r="H61" s="1"/>
      <c r="I61" s="2"/>
      <c r="J61" s="40"/>
      <c r="K61" s="40"/>
      <c r="L61" s="40"/>
    </row>
    <row r="62" spans="3:12" ht="24.75" customHeight="1">
      <c r="C62" s="1"/>
      <c r="D62" s="1"/>
      <c r="E62" s="1"/>
      <c r="F62" s="1"/>
      <c r="G62" s="1"/>
      <c r="H62" s="1"/>
      <c r="I62" s="2"/>
      <c r="J62" s="40"/>
      <c r="K62" s="40"/>
      <c r="L62" s="40"/>
    </row>
    <row r="63" spans="3:12" ht="24.75" customHeight="1">
      <c r="C63" s="1"/>
      <c r="D63" s="1"/>
      <c r="E63" s="1"/>
      <c r="F63" s="1"/>
      <c r="G63" s="1"/>
      <c r="H63" s="1"/>
      <c r="I63" s="2"/>
      <c r="J63" s="40"/>
      <c r="K63" s="40"/>
      <c r="L63" s="40"/>
    </row>
    <row r="64" spans="3:12" ht="24.75" customHeight="1">
      <c r="C64" s="1"/>
      <c r="D64" s="1"/>
      <c r="E64" s="1"/>
      <c r="F64" s="1"/>
      <c r="G64" s="1"/>
      <c r="H64" s="1"/>
      <c r="I64" s="2"/>
      <c r="J64" s="40"/>
      <c r="K64" s="40"/>
      <c r="L64" s="40"/>
    </row>
    <row r="65" spans="3:12" ht="24.75" customHeight="1">
      <c r="C65" s="1"/>
      <c r="D65" s="1"/>
      <c r="E65" s="1"/>
      <c r="F65" s="1"/>
      <c r="G65" s="1"/>
      <c r="H65" s="1"/>
      <c r="I65" s="2"/>
      <c r="J65" s="40"/>
      <c r="K65" s="40"/>
      <c r="L65" s="40"/>
    </row>
    <row r="66" spans="3:12" ht="24.75" customHeight="1">
      <c r="C66" s="1"/>
      <c r="D66" s="1"/>
      <c r="E66" s="1"/>
      <c r="F66" s="1"/>
      <c r="G66" s="1"/>
      <c r="H66" s="1"/>
      <c r="I66" s="2"/>
      <c r="J66" s="40"/>
      <c r="K66" s="40"/>
      <c r="L66" s="40"/>
    </row>
    <row r="67" spans="3:12" ht="24.75" customHeight="1">
      <c r="C67" s="1"/>
      <c r="D67" s="1"/>
      <c r="E67" s="1"/>
      <c r="F67" s="1"/>
      <c r="G67" s="1"/>
      <c r="H67" s="1"/>
      <c r="I67" s="2"/>
      <c r="J67" s="40"/>
      <c r="K67" s="40"/>
      <c r="L67" s="40"/>
    </row>
    <row r="68" spans="3:12" ht="24.75" customHeight="1">
      <c r="C68" s="1"/>
      <c r="D68" s="1"/>
      <c r="E68" s="1"/>
      <c r="F68" s="1"/>
      <c r="G68" s="1"/>
      <c r="H68" s="1"/>
      <c r="I68" s="2"/>
      <c r="J68" s="40"/>
      <c r="K68" s="40"/>
      <c r="L68" s="40"/>
    </row>
    <row r="69" spans="3:12" ht="24.75" customHeight="1">
      <c r="C69" s="1"/>
      <c r="D69" s="1"/>
      <c r="E69" s="1"/>
      <c r="F69" s="1"/>
      <c r="G69" s="1"/>
      <c r="H69" s="1"/>
      <c r="I69" s="2"/>
      <c r="J69" s="40"/>
      <c r="K69" s="40"/>
      <c r="L69" s="40"/>
    </row>
    <row r="70" spans="3:12" ht="24.75" customHeight="1">
      <c r="C70" s="1"/>
      <c r="D70" s="1"/>
      <c r="E70" s="1"/>
      <c r="F70" s="1"/>
      <c r="G70" s="1"/>
      <c r="H70" s="1"/>
      <c r="I70" s="2"/>
      <c r="J70" s="40"/>
      <c r="K70" s="40"/>
      <c r="L70" s="40"/>
    </row>
    <row r="71" spans="3:12" ht="24.75" customHeight="1">
      <c r="C71" s="1"/>
      <c r="D71" s="1"/>
      <c r="E71" s="1"/>
      <c r="F71" s="1"/>
      <c r="G71" s="1"/>
      <c r="H71" s="1"/>
      <c r="I71" s="2"/>
      <c r="J71" s="40"/>
      <c r="K71" s="40"/>
      <c r="L71" s="40"/>
    </row>
    <row r="72" spans="3:12" ht="24.75" customHeight="1">
      <c r="C72" s="1"/>
      <c r="D72" s="1"/>
      <c r="E72" s="1"/>
      <c r="F72" s="1"/>
      <c r="G72" s="1"/>
      <c r="H72" s="1"/>
      <c r="I72" s="2"/>
      <c r="J72" s="40"/>
      <c r="K72" s="40"/>
      <c r="L72" s="40"/>
    </row>
    <row r="73" spans="3:12" ht="24.75" customHeight="1">
      <c r="C73" s="1"/>
      <c r="D73" s="1"/>
      <c r="E73" s="1"/>
      <c r="F73" s="1"/>
      <c r="G73" s="1"/>
      <c r="H73" s="1"/>
      <c r="I73" s="2"/>
      <c r="J73" s="40"/>
      <c r="K73" s="40"/>
      <c r="L73" s="40"/>
    </row>
    <row r="74" spans="3:12" ht="24.75" customHeight="1">
      <c r="C74" s="1"/>
      <c r="D74" s="1"/>
      <c r="E74" s="1"/>
      <c r="F74" s="1"/>
      <c r="G74" s="1"/>
      <c r="H74" s="1"/>
      <c r="I74" s="2"/>
      <c r="J74" s="40"/>
      <c r="K74" s="40"/>
      <c r="L74" s="40"/>
    </row>
    <row r="75" spans="3:12" ht="24.75" customHeight="1">
      <c r="C75" s="1"/>
      <c r="D75" s="1"/>
      <c r="E75" s="1"/>
      <c r="F75" s="1"/>
      <c r="G75" s="1"/>
      <c r="H75" s="1"/>
      <c r="I75" s="2"/>
      <c r="J75" s="40"/>
      <c r="K75" s="40"/>
      <c r="L75" s="40"/>
    </row>
    <row r="76" spans="3:12" ht="24.75" customHeight="1">
      <c r="C76" s="1"/>
      <c r="D76" s="1"/>
      <c r="E76" s="1"/>
      <c r="F76" s="1"/>
      <c r="G76" s="1"/>
      <c r="H76" s="1"/>
      <c r="I76" s="2"/>
      <c r="J76" s="40"/>
      <c r="K76" s="40"/>
      <c r="L76" s="40"/>
    </row>
    <row r="77" spans="3:12" ht="24.75" customHeight="1">
      <c r="C77" s="1"/>
      <c r="D77" s="1"/>
      <c r="E77" s="1"/>
      <c r="F77" s="1"/>
      <c r="G77" s="1"/>
      <c r="H77" s="1"/>
      <c r="I77" s="2"/>
      <c r="J77" s="40"/>
      <c r="K77" s="40"/>
      <c r="L77" s="40"/>
    </row>
    <row r="78" spans="3:12" ht="24.75" customHeight="1">
      <c r="C78" s="1"/>
      <c r="D78" s="1"/>
      <c r="E78" s="1"/>
      <c r="F78" s="1"/>
      <c r="G78" s="1"/>
      <c r="H78" s="1"/>
      <c r="I78" s="2"/>
      <c r="J78" s="40"/>
      <c r="K78" s="40"/>
      <c r="L78" s="40"/>
    </row>
    <row r="79" spans="3:12" ht="24.75" customHeight="1">
      <c r="C79" s="1"/>
      <c r="D79" s="1"/>
      <c r="E79" s="1"/>
      <c r="F79" s="1"/>
      <c r="G79" s="1"/>
      <c r="H79" s="1"/>
      <c r="I79" s="2"/>
      <c r="J79" s="40"/>
      <c r="K79" s="40"/>
      <c r="L79" s="40"/>
    </row>
    <row r="80" spans="3:12" ht="24.75" customHeight="1">
      <c r="C80" s="1"/>
      <c r="D80" s="1"/>
      <c r="E80" s="1"/>
      <c r="F80" s="1"/>
      <c r="G80" s="1"/>
      <c r="H80" s="1"/>
      <c r="I80" s="2"/>
      <c r="J80" s="40"/>
      <c r="K80" s="40"/>
      <c r="L80" s="40"/>
    </row>
    <row r="81" spans="3:19" ht="24.75" customHeight="1">
      <c r="C81" s="1"/>
      <c r="D81" s="1"/>
      <c r="E81" s="1"/>
      <c r="F81" s="1"/>
      <c r="G81" s="1"/>
      <c r="H81" s="1"/>
      <c r="I81" s="2"/>
      <c r="J81" s="40"/>
      <c r="K81" s="40"/>
      <c r="L81" s="40"/>
    </row>
    <row r="82" spans="3:19" ht="24.75" customHeight="1">
      <c r="C82" s="1"/>
      <c r="D82" s="1"/>
      <c r="E82" s="1"/>
      <c r="F82" s="1"/>
      <c r="G82" s="1"/>
      <c r="H82" s="1"/>
      <c r="I82" s="2"/>
      <c r="J82" s="40"/>
      <c r="K82" s="40"/>
      <c r="L82" s="40"/>
    </row>
    <row r="83" spans="3:19" ht="24.75" customHeight="1">
      <c r="C83" s="1"/>
      <c r="D83" s="1"/>
      <c r="E83" s="1"/>
      <c r="F83" s="1"/>
      <c r="G83" s="1"/>
      <c r="H83" s="1"/>
      <c r="I83" s="2"/>
      <c r="J83" s="40"/>
      <c r="K83" s="40"/>
      <c r="L83" s="40"/>
    </row>
    <row r="84" spans="3:19" ht="24.75" customHeight="1">
      <c r="C84" s="1"/>
      <c r="D84" s="1"/>
      <c r="E84" s="1"/>
      <c r="F84" s="1"/>
      <c r="G84" s="1"/>
      <c r="H84" s="1"/>
      <c r="I84" s="2"/>
      <c r="J84" s="40"/>
      <c r="K84" s="40"/>
      <c r="L84" s="40"/>
    </row>
    <row r="85" spans="3:19" ht="24.75" customHeight="1">
      <c r="C85" s="1"/>
      <c r="D85" s="1"/>
      <c r="E85" s="1"/>
      <c r="F85" s="1"/>
      <c r="G85" s="1"/>
      <c r="H85" s="1"/>
      <c r="I85" s="2"/>
      <c r="J85" s="40"/>
      <c r="K85" s="40"/>
      <c r="L85" s="40"/>
    </row>
    <row r="86" spans="3:19" ht="24.75" customHeight="1">
      <c r="C86" s="1"/>
      <c r="D86" s="1"/>
      <c r="E86" s="1"/>
      <c r="F86" s="1"/>
      <c r="G86" s="1"/>
      <c r="H86" s="1"/>
      <c r="I86" s="2"/>
      <c r="J86" s="40"/>
      <c r="K86" s="40"/>
      <c r="L86" s="40"/>
    </row>
    <row r="87" spans="3:19" ht="24.75" customHeight="1">
      <c r="C87" s="1"/>
      <c r="D87" s="1"/>
      <c r="E87" s="1"/>
      <c r="F87" s="1"/>
      <c r="G87" s="1"/>
      <c r="H87" s="1"/>
      <c r="I87" s="2"/>
      <c r="J87" s="40"/>
      <c r="K87" s="40"/>
      <c r="L87" s="40"/>
    </row>
    <row r="88" spans="3:19" ht="24.75" customHeight="1">
      <c r="C88" s="1"/>
      <c r="D88" s="1"/>
      <c r="E88" s="1"/>
      <c r="F88" s="1"/>
      <c r="G88" s="1"/>
      <c r="H88" s="1"/>
      <c r="I88" s="2"/>
      <c r="J88" s="40"/>
      <c r="K88" s="40"/>
      <c r="L88" s="40"/>
    </row>
    <row r="89" spans="3:19" ht="24.75" customHeight="1">
      <c r="C89" s="1"/>
      <c r="D89" s="1"/>
      <c r="E89" s="1"/>
      <c r="F89" s="1"/>
      <c r="G89" s="1"/>
      <c r="H89" s="1"/>
      <c r="I89" s="2"/>
      <c r="J89" s="40"/>
      <c r="K89" s="40"/>
      <c r="L89" s="40"/>
    </row>
    <row r="90" spans="3:19" ht="15.75" customHeight="1">
      <c r="C90" s="1"/>
      <c r="I90" s="2"/>
      <c r="J90" s="40"/>
      <c r="K90" s="40"/>
      <c r="L90" s="40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0"/>
      <c r="K91" s="40"/>
      <c r="L91" s="40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0"/>
      <c r="K92" s="40"/>
      <c r="L92" s="40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0"/>
      <c r="K93" s="40"/>
      <c r="L93" s="40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0"/>
      <c r="K94" s="40"/>
      <c r="L94" s="40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0"/>
      <c r="K95" s="40"/>
      <c r="L95" s="40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0"/>
      <c r="K96" s="40"/>
      <c r="L96" s="40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0"/>
      <c r="K97" s="40"/>
      <c r="L97" s="40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0"/>
      <c r="K98" s="40"/>
      <c r="L98" s="40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0"/>
      <c r="K99" s="40"/>
      <c r="L99" s="40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0"/>
      <c r="K100" s="40"/>
      <c r="L100" s="40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0"/>
      <c r="K101" s="40"/>
      <c r="L101" s="40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0"/>
      <c r="K102" s="40"/>
      <c r="L102" s="40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0"/>
      <c r="K103" s="40"/>
      <c r="L103" s="40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0"/>
      <c r="K104" s="40"/>
      <c r="L104" s="40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0"/>
      <c r="K105" s="40"/>
      <c r="L105" s="40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0"/>
      <c r="K106" s="40"/>
      <c r="L106" s="40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0"/>
      <c r="K107" s="40"/>
      <c r="L107" s="40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0"/>
      <c r="K108" s="40"/>
      <c r="L108" s="40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0"/>
      <c r="K109" s="40"/>
      <c r="L109" s="40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0"/>
      <c r="K110" s="40"/>
      <c r="L110" s="40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0"/>
      <c r="K111" s="40"/>
      <c r="L111" s="40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0"/>
      <c r="K112" s="40"/>
      <c r="L112" s="40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0"/>
      <c r="K113" s="40"/>
      <c r="L113" s="40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0"/>
      <c r="K114" s="40"/>
      <c r="L114" s="40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0"/>
      <c r="K115" s="40"/>
      <c r="L115" s="40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0"/>
      <c r="K116" s="40"/>
      <c r="L116" s="40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0"/>
      <c r="K117" s="40"/>
      <c r="L117" s="40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0"/>
      <c r="K118" s="40"/>
      <c r="L118" s="40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0"/>
      <c r="K119" s="40"/>
      <c r="L119" s="40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0"/>
      <c r="K120" s="40"/>
      <c r="L120" s="40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0"/>
      <c r="K121" s="40"/>
      <c r="L121" s="40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0"/>
      <c r="K122" s="40"/>
      <c r="L122" s="40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0"/>
      <c r="K123" s="40"/>
      <c r="L123" s="40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0"/>
      <c r="K124" s="40"/>
      <c r="L124" s="40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0"/>
      <c r="K125" s="40"/>
      <c r="L125" s="40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0"/>
      <c r="K126" s="40"/>
      <c r="L126" s="40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0"/>
      <c r="K127" s="40"/>
      <c r="L127" s="40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0"/>
      <c r="K128" s="40"/>
      <c r="L128" s="40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0"/>
      <c r="K129" s="40"/>
      <c r="L129" s="40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0"/>
      <c r="K130" s="40"/>
      <c r="L130" s="40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0"/>
      <c r="K131" s="40"/>
      <c r="L131" s="40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0"/>
      <c r="K132" s="40"/>
      <c r="L132" s="40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0"/>
      <c r="K133" s="40"/>
      <c r="L133" s="40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0"/>
      <c r="K134" s="40"/>
      <c r="L134" s="40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0"/>
      <c r="K135" s="40"/>
      <c r="L135" s="40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0"/>
      <c r="K136" s="40"/>
      <c r="L136" s="40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0"/>
      <c r="K137" s="40"/>
      <c r="L137" s="40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0"/>
      <c r="K138" s="40"/>
      <c r="L138" s="40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0"/>
      <c r="K139" s="40"/>
      <c r="L139" s="40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0"/>
      <c r="K140" s="40"/>
      <c r="L140" s="40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0"/>
      <c r="K141" s="40"/>
      <c r="L141" s="40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0"/>
      <c r="K142" s="40"/>
      <c r="L142" s="40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0"/>
      <c r="K143" s="40"/>
      <c r="L143" s="40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0"/>
      <c r="K144" s="40"/>
      <c r="L144" s="40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0"/>
      <c r="K145" s="40"/>
      <c r="L145" s="40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0"/>
      <c r="K146" s="40"/>
      <c r="L146" s="40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0"/>
      <c r="K147" s="40"/>
      <c r="L147" s="40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0"/>
      <c r="K148" s="40"/>
      <c r="L148" s="40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0"/>
      <c r="K149" s="40"/>
      <c r="L149" s="40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0"/>
      <c r="K150" s="40"/>
      <c r="L150" s="40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0"/>
      <c r="K151" s="40"/>
      <c r="L151" s="40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0"/>
      <c r="K152" s="40"/>
      <c r="L152" s="40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0"/>
      <c r="K153" s="40"/>
      <c r="L153" s="40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0"/>
      <c r="K154" s="40"/>
      <c r="L154" s="40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0"/>
      <c r="K155" s="40"/>
      <c r="L155" s="40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0"/>
      <c r="K156" s="40"/>
      <c r="L156" s="40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0"/>
      <c r="K157" s="40"/>
      <c r="L157" s="40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0"/>
      <c r="K158" s="40"/>
      <c r="L158" s="40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0"/>
      <c r="K159" s="40"/>
      <c r="L159" s="40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0"/>
      <c r="K160" s="40"/>
      <c r="L160" s="40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0"/>
      <c r="K161" s="40"/>
      <c r="L161" s="40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0"/>
      <c r="K162" s="40"/>
      <c r="L162" s="40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0"/>
      <c r="K163" s="40"/>
      <c r="L163" s="40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0"/>
      <c r="K164" s="40"/>
      <c r="L164" s="40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0"/>
      <c r="K165" s="40"/>
      <c r="L165" s="40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0"/>
      <c r="K166" s="40"/>
      <c r="L166" s="40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0"/>
      <c r="K167" s="40"/>
      <c r="L167" s="40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0"/>
      <c r="K168" s="40"/>
      <c r="L168" s="40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0"/>
      <c r="K169" s="40"/>
      <c r="L169" s="40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0"/>
      <c r="K170" s="40"/>
      <c r="L170" s="40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0"/>
      <c r="K171" s="40"/>
      <c r="L171" s="40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0"/>
      <c r="K172" s="40"/>
      <c r="L172" s="40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0"/>
      <c r="K173" s="40"/>
      <c r="L173" s="40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0"/>
      <c r="K174" s="40"/>
      <c r="L174" s="40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0"/>
      <c r="K175" s="40"/>
      <c r="L175" s="40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0"/>
      <c r="K176" s="40"/>
      <c r="L176" s="40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0"/>
      <c r="K177" s="40"/>
      <c r="L177" s="40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0"/>
      <c r="K178" s="40"/>
      <c r="L178" s="40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0"/>
      <c r="K179" s="40"/>
      <c r="L179" s="40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0"/>
      <c r="K180" s="40"/>
      <c r="L180" s="40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0"/>
      <c r="K181" s="40"/>
      <c r="L181" s="40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0"/>
      <c r="K182" s="40"/>
      <c r="L182" s="40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0"/>
      <c r="K183" s="40"/>
      <c r="L183" s="40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0"/>
      <c r="K184" s="40"/>
      <c r="L184" s="40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0"/>
      <c r="K185" s="40"/>
      <c r="L185" s="40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0"/>
      <c r="K186" s="40"/>
      <c r="L186" s="40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0"/>
      <c r="K187" s="40"/>
      <c r="L187" s="40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0"/>
      <c r="K188" s="40"/>
      <c r="L188" s="40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0"/>
      <c r="K189" s="40"/>
      <c r="L189" s="40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0"/>
      <c r="K190" s="40"/>
      <c r="L190" s="40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0"/>
      <c r="K191" s="40"/>
      <c r="L191" s="40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0"/>
      <c r="K192" s="40"/>
      <c r="L192" s="40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0"/>
      <c r="K193" s="40"/>
      <c r="L193" s="40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0"/>
      <c r="K194" s="40"/>
      <c r="L194" s="40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0"/>
      <c r="K195" s="40"/>
      <c r="L195" s="40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0"/>
      <c r="K196" s="40"/>
      <c r="L196" s="40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0"/>
      <c r="K197" s="40"/>
      <c r="L197" s="40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0"/>
      <c r="K198" s="40"/>
      <c r="L198" s="40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0"/>
      <c r="K199" s="40"/>
      <c r="L199" s="40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0"/>
      <c r="K200" s="40"/>
      <c r="L200" s="40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0"/>
      <c r="K201" s="40"/>
      <c r="L201" s="40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0"/>
      <c r="K202" s="40"/>
      <c r="L202" s="40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0"/>
      <c r="K203" s="40"/>
      <c r="L203" s="40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0"/>
      <c r="K204" s="40"/>
      <c r="L204" s="40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0"/>
      <c r="K205" s="40"/>
      <c r="L205" s="40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0"/>
      <c r="K206" s="40"/>
      <c r="L206" s="40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0"/>
      <c r="K207" s="40"/>
      <c r="L207" s="40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0"/>
      <c r="K208" s="40"/>
      <c r="L208" s="40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0"/>
      <c r="K209" s="40"/>
      <c r="L209" s="40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0"/>
      <c r="K210" s="40"/>
      <c r="L210" s="40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0"/>
      <c r="K211" s="40"/>
      <c r="L211" s="40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0"/>
      <c r="K212" s="40"/>
      <c r="L212" s="40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0"/>
      <c r="K213" s="40"/>
      <c r="L213" s="40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0"/>
      <c r="K214" s="40"/>
      <c r="L214" s="40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0"/>
      <c r="K215" s="40"/>
      <c r="L215" s="40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0"/>
      <c r="K216" s="40"/>
      <c r="L216" s="40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0"/>
      <c r="K217" s="40"/>
      <c r="L217" s="40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0"/>
      <c r="K218" s="40"/>
      <c r="L218" s="40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0"/>
      <c r="K219" s="40"/>
      <c r="L219" s="40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0"/>
      <c r="K220" s="40"/>
      <c r="L220" s="40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0"/>
      <c r="K221" s="40"/>
      <c r="L221" s="40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0"/>
      <c r="K222" s="40"/>
      <c r="L222" s="40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0"/>
      <c r="K223" s="40"/>
      <c r="L223" s="40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0"/>
      <c r="K224" s="40"/>
      <c r="L224" s="40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0"/>
      <c r="K225" s="40"/>
      <c r="L225" s="40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0"/>
      <c r="K226" s="40"/>
      <c r="L226" s="40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0"/>
      <c r="K227" s="40"/>
      <c r="L227" s="40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0"/>
      <c r="K228" s="40"/>
      <c r="L228" s="40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0"/>
      <c r="K229" s="40"/>
      <c r="L229" s="40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0"/>
      <c r="K230" s="40"/>
      <c r="L230" s="40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0"/>
      <c r="K231" s="40"/>
      <c r="L231" s="40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0"/>
      <c r="K232" s="40"/>
      <c r="L232" s="40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0"/>
      <c r="K233" s="40"/>
      <c r="L233" s="40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0"/>
      <c r="K234" s="40"/>
      <c r="L234" s="40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0"/>
      <c r="K235" s="40"/>
      <c r="L235" s="40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0"/>
      <c r="K236" s="40"/>
      <c r="L236" s="40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0"/>
      <c r="K237" s="40"/>
      <c r="L237" s="40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0"/>
      <c r="K238" s="40"/>
      <c r="L238" s="40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0"/>
      <c r="K239" s="40"/>
      <c r="L239" s="40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0"/>
      <c r="K240" s="40"/>
      <c r="L240" s="40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0"/>
      <c r="K241" s="40"/>
      <c r="L241" s="40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0"/>
      <c r="K242" s="40"/>
      <c r="L242" s="40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0"/>
      <c r="K243" s="40"/>
      <c r="L243" s="40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0"/>
      <c r="K244" s="40"/>
      <c r="L244" s="40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0"/>
      <c r="K245" s="40"/>
      <c r="L245" s="40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0"/>
      <c r="K246" s="40"/>
      <c r="L246" s="40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0"/>
      <c r="K247" s="40"/>
      <c r="L247" s="40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0"/>
      <c r="K248" s="40"/>
      <c r="L248" s="40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0"/>
      <c r="K249" s="40"/>
      <c r="L249" s="40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0"/>
      <c r="K250" s="40"/>
      <c r="L250" s="40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0"/>
      <c r="K251" s="40"/>
      <c r="L251" s="40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0"/>
      <c r="K252" s="40"/>
      <c r="L252" s="40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0"/>
      <c r="K253" s="40"/>
      <c r="L253" s="40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0"/>
      <c r="K254" s="40"/>
      <c r="L254" s="40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0"/>
      <c r="K255" s="40"/>
      <c r="L255" s="40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0"/>
      <c r="K256" s="40"/>
      <c r="L256" s="40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0"/>
      <c r="K257" s="40"/>
      <c r="L257" s="40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0"/>
      <c r="K258" s="40"/>
      <c r="L258" s="40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0"/>
      <c r="K259" s="40"/>
      <c r="L259" s="40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0"/>
      <c r="K260" s="40"/>
      <c r="L260" s="40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0"/>
      <c r="K261" s="40"/>
      <c r="L261" s="40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0"/>
      <c r="K262" s="40"/>
      <c r="L262" s="40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0"/>
      <c r="K263" s="40"/>
      <c r="L263" s="40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0"/>
      <c r="K264" s="40"/>
      <c r="L264" s="40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0"/>
      <c r="K265" s="40"/>
      <c r="L265" s="40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0"/>
      <c r="K266" s="40"/>
      <c r="L266" s="40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0"/>
      <c r="K267" s="40"/>
      <c r="L267" s="40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0"/>
      <c r="K268" s="40"/>
      <c r="L268" s="40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0"/>
      <c r="K269" s="40"/>
      <c r="L269" s="40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0"/>
      <c r="K270" s="40"/>
      <c r="L270" s="40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0"/>
      <c r="K271" s="40"/>
      <c r="L271" s="40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0"/>
      <c r="K272" s="40"/>
      <c r="L272" s="40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0"/>
      <c r="K273" s="40"/>
      <c r="L273" s="40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0"/>
      <c r="K274" s="40"/>
      <c r="L274" s="40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0"/>
      <c r="K275" s="40"/>
      <c r="L275" s="40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0"/>
      <c r="K276" s="40"/>
      <c r="L276" s="40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0"/>
      <c r="K277" s="40"/>
      <c r="L277" s="40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0"/>
      <c r="K278" s="40"/>
      <c r="L278" s="40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0"/>
      <c r="K279" s="40"/>
      <c r="L279" s="40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0"/>
      <c r="K280" s="40"/>
      <c r="L280" s="40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0"/>
      <c r="K281" s="40"/>
      <c r="L281" s="40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0"/>
      <c r="K282" s="40"/>
      <c r="L282" s="40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0"/>
      <c r="K283" s="40"/>
      <c r="L283" s="40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0"/>
      <c r="K284" s="40"/>
      <c r="L284" s="40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0"/>
      <c r="K285" s="40"/>
      <c r="L285" s="40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0"/>
      <c r="K286" s="40"/>
      <c r="L286" s="40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0"/>
      <c r="K287" s="40"/>
      <c r="L287" s="40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0"/>
      <c r="K288" s="40"/>
      <c r="L288" s="40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0"/>
      <c r="K289" s="40"/>
      <c r="L289" s="40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0"/>
      <c r="K290" s="40"/>
      <c r="L290" s="40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0"/>
      <c r="K291" s="40"/>
      <c r="L291" s="40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0"/>
      <c r="K292" s="40"/>
      <c r="L292" s="40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0"/>
      <c r="K293" s="40"/>
      <c r="L293" s="40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0"/>
      <c r="K294" s="40"/>
      <c r="L294" s="40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0"/>
      <c r="K295" s="40"/>
      <c r="L295" s="40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0"/>
      <c r="K296" s="40"/>
      <c r="L296" s="40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0"/>
      <c r="K297" s="40"/>
      <c r="L297" s="40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0"/>
      <c r="K298" s="40"/>
      <c r="L298" s="40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0"/>
      <c r="K299" s="40"/>
      <c r="L299" s="40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0"/>
      <c r="K300" s="40"/>
      <c r="L300" s="40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0"/>
      <c r="K301" s="40"/>
      <c r="L301" s="40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0"/>
      <c r="K302" s="40"/>
      <c r="L302" s="40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0"/>
      <c r="K303" s="40"/>
      <c r="L303" s="40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0"/>
      <c r="K304" s="40"/>
      <c r="L304" s="40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0"/>
      <c r="K305" s="40"/>
      <c r="L305" s="40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0"/>
      <c r="K306" s="40"/>
      <c r="L306" s="40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0"/>
      <c r="K307" s="40"/>
      <c r="L307" s="40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0"/>
      <c r="K308" s="40"/>
      <c r="L308" s="40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0"/>
      <c r="K309" s="40"/>
      <c r="L309" s="40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0"/>
      <c r="K310" s="40"/>
      <c r="L310" s="40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0"/>
      <c r="K311" s="40"/>
      <c r="L311" s="40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0"/>
      <c r="K312" s="40"/>
      <c r="L312" s="40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0"/>
      <c r="K313" s="40"/>
      <c r="L313" s="40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0"/>
      <c r="K314" s="40"/>
      <c r="L314" s="40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0"/>
      <c r="K315" s="40"/>
      <c r="L315" s="40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0"/>
      <c r="K316" s="40"/>
      <c r="L316" s="40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0"/>
      <c r="K317" s="40"/>
      <c r="L317" s="40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0"/>
      <c r="K318" s="40"/>
      <c r="L318" s="40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0"/>
      <c r="K319" s="40"/>
      <c r="L319" s="40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0"/>
      <c r="K320" s="40"/>
      <c r="L320" s="40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0"/>
      <c r="K321" s="40"/>
      <c r="L321" s="40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0"/>
      <c r="K322" s="40"/>
      <c r="L322" s="40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0"/>
      <c r="K323" s="40"/>
      <c r="L323" s="40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0"/>
      <c r="K324" s="40"/>
      <c r="L324" s="40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0"/>
      <c r="K325" s="40"/>
      <c r="L325" s="40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0"/>
      <c r="K326" s="40"/>
      <c r="L326" s="40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0"/>
      <c r="K327" s="40"/>
      <c r="L327" s="40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0"/>
      <c r="K328" s="40"/>
      <c r="L328" s="40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0"/>
      <c r="K329" s="40"/>
      <c r="L329" s="40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0"/>
      <c r="K330" s="40"/>
      <c r="L330" s="40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0"/>
      <c r="K331" s="40"/>
      <c r="L331" s="40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0"/>
      <c r="K332" s="40"/>
      <c r="L332" s="40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0"/>
      <c r="K333" s="40"/>
      <c r="L333" s="40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0"/>
      <c r="K334" s="40"/>
      <c r="L334" s="40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0"/>
      <c r="K335" s="40"/>
      <c r="L335" s="40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0"/>
      <c r="K336" s="40"/>
      <c r="L336" s="40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0"/>
      <c r="K337" s="40"/>
      <c r="L337" s="40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0"/>
      <c r="K338" s="40"/>
      <c r="L338" s="40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0"/>
      <c r="K339" s="40"/>
      <c r="L339" s="40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0"/>
      <c r="K340" s="40"/>
      <c r="L340" s="40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0"/>
      <c r="K341" s="40"/>
      <c r="L341" s="40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0"/>
      <c r="K342" s="40"/>
      <c r="L342" s="40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0"/>
      <c r="K343" s="40"/>
      <c r="L343" s="40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0"/>
      <c r="K344" s="40"/>
      <c r="L344" s="40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0"/>
      <c r="K345" s="40"/>
      <c r="L345" s="40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0"/>
      <c r="K346" s="40"/>
      <c r="L346" s="40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0"/>
      <c r="K347" s="40"/>
      <c r="L347" s="40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0"/>
      <c r="K348" s="40"/>
      <c r="L348" s="40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0"/>
      <c r="K349" s="40"/>
      <c r="L349" s="40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0"/>
      <c r="K350" s="40"/>
      <c r="L350" s="40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0"/>
      <c r="K351" s="40"/>
      <c r="L351" s="40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0"/>
      <c r="K352" s="40"/>
      <c r="L352" s="40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0"/>
      <c r="K353" s="40"/>
      <c r="L353" s="40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0"/>
      <c r="K354" s="40"/>
      <c r="L354" s="40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0"/>
      <c r="K355" s="40"/>
      <c r="L355" s="40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0"/>
      <c r="K356" s="40"/>
      <c r="L356" s="40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0"/>
      <c r="K357" s="40"/>
      <c r="L357" s="40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0"/>
      <c r="K358" s="40"/>
      <c r="L358" s="40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0"/>
      <c r="K359" s="40"/>
      <c r="L359" s="40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0"/>
      <c r="K360" s="40"/>
      <c r="L360" s="40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0"/>
      <c r="K361" s="40"/>
      <c r="L361" s="40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0"/>
      <c r="K362" s="40"/>
      <c r="L362" s="40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0"/>
      <c r="K363" s="40"/>
      <c r="L363" s="40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0"/>
      <c r="K364" s="40"/>
      <c r="L364" s="40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0"/>
      <c r="K365" s="40"/>
      <c r="L365" s="40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0"/>
      <c r="K366" s="40"/>
      <c r="L366" s="40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0"/>
      <c r="K367" s="40"/>
      <c r="L367" s="40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0"/>
      <c r="K368" s="40"/>
      <c r="L368" s="40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0"/>
      <c r="K369" s="40"/>
      <c r="L369" s="40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0"/>
      <c r="K370" s="40"/>
      <c r="L370" s="40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0"/>
      <c r="K371" s="40"/>
      <c r="L371" s="40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0"/>
      <c r="K372" s="40"/>
      <c r="L372" s="40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0"/>
      <c r="K373" s="40"/>
      <c r="L373" s="40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0"/>
      <c r="K374" s="40"/>
      <c r="L374" s="40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0"/>
      <c r="K375" s="40"/>
      <c r="L375" s="40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0"/>
      <c r="K376" s="40"/>
      <c r="L376" s="40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0"/>
      <c r="K377" s="40"/>
      <c r="L377" s="40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0"/>
      <c r="K378" s="40"/>
      <c r="L378" s="40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0"/>
      <c r="K379" s="40"/>
      <c r="L379" s="40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0"/>
      <c r="K380" s="40"/>
      <c r="L380" s="40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0"/>
      <c r="K381" s="40"/>
      <c r="L381" s="40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0"/>
      <c r="K382" s="40"/>
      <c r="L382" s="40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0"/>
      <c r="K383" s="40"/>
      <c r="L383" s="40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0"/>
      <c r="K384" s="40"/>
      <c r="L384" s="40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0"/>
      <c r="K385" s="40"/>
      <c r="L385" s="40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0"/>
      <c r="K386" s="40"/>
      <c r="L386" s="40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0"/>
      <c r="K387" s="40"/>
      <c r="L387" s="40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0"/>
      <c r="K388" s="40"/>
      <c r="L388" s="40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0"/>
      <c r="K389" s="40"/>
      <c r="L389" s="40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0"/>
      <c r="K390" s="40"/>
      <c r="L390" s="40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0"/>
      <c r="K391" s="40"/>
      <c r="L391" s="40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0"/>
      <c r="K392" s="40"/>
      <c r="L392" s="40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0"/>
      <c r="K393" s="40"/>
      <c r="L393" s="40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0"/>
      <c r="K394" s="40"/>
      <c r="L394" s="40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0"/>
      <c r="K395" s="40"/>
      <c r="L395" s="40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0"/>
      <c r="K396" s="40"/>
      <c r="L396" s="40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0"/>
      <c r="K397" s="40"/>
      <c r="L397" s="40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0"/>
      <c r="K398" s="40"/>
      <c r="L398" s="40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0"/>
      <c r="K399" s="40"/>
      <c r="L399" s="40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0"/>
      <c r="K400" s="40"/>
      <c r="L400" s="40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0"/>
      <c r="K401" s="40"/>
      <c r="L401" s="40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0"/>
      <c r="K402" s="40"/>
      <c r="L402" s="40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0"/>
      <c r="K403" s="40"/>
      <c r="L403" s="40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0"/>
      <c r="K404" s="40"/>
      <c r="L404" s="40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0"/>
      <c r="K405" s="40"/>
      <c r="L405" s="40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0"/>
      <c r="K406" s="40"/>
      <c r="L406" s="40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0"/>
      <c r="K407" s="40"/>
      <c r="L407" s="40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0"/>
      <c r="K408" s="40"/>
      <c r="L408" s="40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0"/>
      <c r="K409" s="40"/>
      <c r="L409" s="40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0"/>
      <c r="K410" s="40"/>
      <c r="L410" s="40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0"/>
      <c r="K411" s="40"/>
      <c r="L411" s="40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0"/>
      <c r="K412" s="40"/>
      <c r="L412" s="40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0"/>
      <c r="K413" s="40"/>
      <c r="L413" s="40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0"/>
      <c r="K414" s="40"/>
      <c r="L414" s="40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0"/>
      <c r="K415" s="40"/>
      <c r="L415" s="40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0"/>
      <c r="K416" s="40"/>
      <c r="L416" s="40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0"/>
      <c r="K417" s="40"/>
      <c r="L417" s="40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0"/>
      <c r="K418" s="40"/>
      <c r="L418" s="40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0"/>
      <c r="K419" s="40"/>
      <c r="L419" s="40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0"/>
      <c r="K420" s="40"/>
      <c r="L420" s="40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0"/>
      <c r="K421" s="40"/>
      <c r="L421" s="40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0"/>
      <c r="K422" s="40"/>
      <c r="L422" s="40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0"/>
      <c r="K423" s="40"/>
      <c r="L423" s="40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0"/>
      <c r="K424" s="40"/>
      <c r="L424" s="40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0"/>
      <c r="K425" s="40"/>
      <c r="L425" s="40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0"/>
      <c r="K426" s="40"/>
      <c r="L426" s="40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0"/>
      <c r="K427" s="40"/>
      <c r="L427" s="40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0"/>
      <c r="K428" s="40"/>
      <c r="L428" s="40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0"/>
      <c r="K429" s="40"/>
      <c r="L429" s="40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0"/>
      <c r="K430" s="40"/>
      <c r="L430" s="40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0"/>
      <c r="K431" s="40"/>
      <c r="L431" s="40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0"/>
      <c r="K432" s="40"/>
      <c r="L432" s="40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0"/>
      <c r="K433" s="40"/>
      <c r="L433" s="40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0"/>
      <c r="K434" s="40"/>
      <c r="L434" s="40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0"/>
      <c r="K435" s="40"/>
      <c r="L435" s="40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0"/>
      <c r="K436" s="40"/>
      <c r="L436" s="40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0"/>
      <c r="K437" s="40"/>
      <c r="L437" s="40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0"/>
      <c r="K438" s="40"/>
      <c r="L438" s="40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0"/>
      <c r="K439" s="40"/>
      <c r="L439" s="40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0"/>
      <c r="K440" s="40"/>
      <c r="L440" s="40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0"/>
      <c r="K441" s="40"/>
      <c r="L441" s="40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0"/>
      <c r="K442" s="40"/>
      <c r="L442" s="40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0"/>
      <c r="K443" s="40"/>
      <c r="L443" s="40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0"/>
      <c r="K444" s="40"/>
      <c r="L444" s="40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0"/>
      <c r="K445" s="40"/>
      <c r="L445" s="40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0"/>
      <c r="K446" s="40"/>
      <c r="L446" s="40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0"/>
      <c r="K447" s="40"/>
      <c r="L447" s="40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0"/>
      <c r="K448" s="40"/>
      <c r="L448" s="40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0"/>
      <c r="K449" s="40"/>
      <c r="L449" s="40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0"/>
      <c r="K450" s="40"/>
      <c r="L450" s="40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0"/>
      <c r="K451" s="40"/>
      <c r="L451" s="40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0"/>
      <c r="K452" s="40"/>
      <c r="L452" s="40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0"/>
      <c r="K453" s="40"/>
      <c r="L453" s="40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0"/>
      <c r="K454" s="40"/>
      <c r="L454" s="40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0"/>
      <c r="K455" s="40"/>
      <c r="L455" s="40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0"/>
      <c r="K456" s="40"/>
      <c r="L456" s="40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0"/>
      <c r="K457" s="40"/>
      <c r="L457" s="40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0"/>
      <c r="K458" s="40"/>
      <c r="L458" s="40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0"/>
      <c r="K459" s="40"/>
      <c r="L459" s="40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0"/>
      <c r="K460" s="40"/>
      <c r="L460" s="40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0"/>
      <c r="K461" s="40"/>
      <c r="L461" s="40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0"/>
      <c r="K462" s="40"/>
      <c r="L462" s="40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0"/>
      <c r="K463" s="40"/>
      <c r="L463" s="40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0"/>
      <c r="K464" s="40"/>
      <c r="L464" s="40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0"/>
      <c r="K465" s="40"/>
      <c r="L465" s="40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0"/>
      <c r="K466" s="40"/>
      <c r="L466" s="40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0"/>
      <c r="K467" s="40"/>
      <c r="L467" s="40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0"/>
      <c r="K468" s="40"/>
      <c r="L468" s="40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0"/>
      <c r="K469" s="40"/>
      <c r="L469" s="40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0"/>
      <c r="K470" s="40"/>
      <c r="L470" s="40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0"/>
      <c r="K471" s="40"/>
      <c r="L471" s="40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0"/>
      <c r="K472" s="40"/>
      <c r="L472" s="40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0"/>
      <c r="K473" s="40"/>
      <c r="L473" s="40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0"/>
      <c r="K474" s="40"/>
      <c r="L474" s="40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0"/>
      <c r="K475" s="40"/>
      <c r="L475" s="40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0"/>
      <c r="K476" s="40"/>
      <c r="L476" s="40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0"/>
      <c r="K477" s="40"/>
      <c r="L477" s="40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0"/>
      <c r="K478" s="40"/>
      <c r="L478" s="40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0"/>
      <c r="K479" s="40"/>
      <c r="L479" s="40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0"/>
      <c r="K480" s="40"/>
      <c r="L480" s="40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0"/>
      <c r="K481" s="40"/>
      <c r="L481" s="40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0"/>
      <c r="K482" s="40"/>
      <c r="L482" s="40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0"/>
      <c r="K483" s="40"/>
      <c r="L483" s="40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0"/>
      <c r="K484" s="40"/>
      <c r="L484" s="40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0"/>
      <c r="K485" s="40"/>
      <c r="L485" s="40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0"/>
      <c r="K486" s="40"/>
      <c r="L486" s="40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0"/>
      <c r="K487" s="40"/>
      <c r="L487" s="40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0"/>
      <c r="K488" s="40"/>
      <c r="L488" s="40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0"/>
      <c r="K489" s="40"/>
      <c r="L489" s="40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0"/>
      <c r="K490" s="40"/>
      <c r="L490" s="40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0"/>
      <c r="K491" s="40"/>
      <c r="L491" s="40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0"/>
      <c r="K492" s="40"/>
      <c r="L492" s="40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0"/>
      <c r="K493" s="40"/>
      <c r="L493" s="40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0"/>
      <c r="K494" s="40"/>
      <c r="L494" s="40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0"/>
      <c r="K495" s="40"/>
      <c r="L495" s="40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0"/>
      <c r="K496" s="40"/>
      <c r="L496" s="40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0"/>
      <c r="K497" s="40"/>
      <c r="L497" s="40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0"/>
      <c r="K498" s="40"/>
      <c r="L498" s="40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0"/>
      <c r="K499" s="40"/>
      <c r="L499" s="40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0"/>
      <c r="K500" s="40"/>
      <c r="L500" s="40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0"/>
      <c r="K501" s="40"/>
      <c r="L501" s="40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0"/>
      <c r="K502" s="40"/>
      <c r="L502" s="40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0"/>
      <c r="K503" s="40"/>
      <c r="L503" s="40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0"/>
      <c r="K504" s="40"/>
      <c r="L504" s="40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0"/>
      <c r="K505" s="40"/>
      <c r="L505" s="40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0"/>
      <c r="K506" s="40"/>
      <c r="L506" s="40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0"/>
      <c r="K507" s="40"/>
      <c r="L507" s="40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0"/>
      <c r="K508" s="40"/>
      <c r="L508" s="40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0"/>
      <c r="K509" s="40"/>
      <c r="L509" s="40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0"/>
      <c r="K510" s="40"/>
      <c r="L510" s="40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0"/>
      <c r="K511" s="40"/>
      <c r="L511" s="40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0"/>
      <c r="K512" s="40"/>
      <c r="L512" s="40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0"/>
      <c r="K513" s="40"/>
      <c r="L513" s="40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0"/>
      <c r="K514" s="40"/>
      <c r="L514" s="40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0"/>
      <c r="K515" s="40"/>
      <c r="L515" s="40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0"/>
      <c r="K516" s="40"/>
      <c r="L516" s="40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0"/>
      <c r="K517" s="40"/>
      <c r="L517" s="40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0"/>
      <c r="K518" s="40"/>
      <c r="L518" s="40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0"/>
      <c r="K519" s="40"/>
      <c r="L519" s="40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0"/>
      <c r="K520" s="40"/>
      <c r="L520" s="40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0"/>
      <c r="K521" s="40"/>
      <c r="L521" s="40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0"/>
      <c r="K522" s="40"/>
      <c r="L522" s="40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0"/>
      <c r="K523" s="40"/>
      <c r="L523" s="40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0"/>
      <c r="K524" s="40"/>
      <c r="L524" s="40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0"/>
      <c r="K525" s="40"/>
      <c r="L525" s="40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0"/>
      <c r="K526" s="40"/>
      <c r="L526" s="40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0"/>
      <c r="K527" s="40"/>
      <c r="L527" s="40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0"/>
      <c r="K528" s="40"/>
      <c r="L528" s="40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0"/>
      <c r="K529" s="40"/>
      <c r="L529" s="40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0"/>
      <c r="K530" s="40"/>
      <c r="L530" s="40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0"/>
      <c r="K531" s="40"/>
      <c r="L531" s="40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0"/>
      <c r="K532" s="40"/>
      <c r="L532" s="40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0"/>
      <c r="K533" s="40"/>
      <c r="L533" s="40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0"/>
      <c r="K534" s="40"/>
      <c r="L534" s="40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0"/>
      <c r="K535" s="40"/>
      <c r="L535" s="40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0"/>
      <c r="K536" s="40"/>
      <c r="L536" s="40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0"/>
      <c r="K537" s="40"/>
      <c r="L537" s="40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0"/>
      <c r="K538" s="40"/>
      <c r="L538" s="40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0"/>
      <c r="K539" s="40"/>
      <c r="L539" s="40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0"/>
      <c r="K540" s="40"/>
      <c r="L540" s="40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0"/>
      <c r="K541" s="40"/>
      <c r="L541" s="40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0"/>
      <c r="K542" s="40"/>
      <c r="L542" s="40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0"/>
      <c r="K543" s="40"/>
      <c r="L543" s="40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0"/>
      <c r="K544" s="40"/>
      <c r="L544" s="40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0"/>
      <c r="K545" s="40"/>
      <c r="L545" s="40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0"/>
      <c r="K546" s="40"/>
      <c r="L546" s="40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0"/>
      <c r="K547" s="40"/>
      <c r="L547" s="40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0"/>
      <c r="K548" s="40"/>
      <c r="L548" s="40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0"/>
      <c r="K549" s="40"/>
      <c r="L549" s="40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0"/>
      <c r="K550" s="40"/>
      <c r="L550" s="40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0"/>
      <c r="K551" s="40"/>
      <c r="L551" s="40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0"/>
      <c r="K552" s="40"/>
      <c r="L552" s="40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0"/>
      <c r="K553" s="40"/>
      <c r="L553" s="40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0"/>
      <c r="K554" s="40"/>
      <c r="L554" s="40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0"/>
      <c r="K555" s="40"/>
      <c r="L555" s="40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0"/>
      <c r="K556" s="40"/>
      <c r="L556" s="40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0"/>
      <c r="K557" s="40"/>
      <c r="L557" s="40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0"/>
      <c r="K558" s="40"/>
      <c r="L558" s="40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0"/>
      <c r="K559" s="40"/>
      <c r="L559" s="40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0"/>
      <c r="K560" s="40"/>
      <c r="L560" s="40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0"/>
      <c r="K561" s="40"/>
      <c r="L561" s="40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0"/>
      <c r="K562" s="40"/>
      <c r="L562" s="40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0"/>
      <c r="K563" s="40"/>
      <c r="L563" s="40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0"/>
      <c r="K564" s="40"/>
      <c r="L564" s="40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0"/>
      <c r="K565" s="40"/>
      <c r="L565" s="40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0"/>
      <c r="K566" s="40"/>
      <c r="L566" s="40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0"/>
      <c r="K567" s="40"/>
      <c r="L567" s="40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0"/>
      <c r="K568" s="40"/>
      <c r="L568" s="40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0"/>
      <c r="K569" s="40"/>
      <c r="L569" s="40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0"/>
      <c r="K570" s="40"/>
      <c r="L570" s="40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0"/>
      <c r="K571" s="40"/>
      <c r="L571" s="40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0"/>
      <c r="K572" s="40"/>
      <c r="L572" s="40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0"/>
      <c r="K573" s="40"/>
      <c r="L573" s="40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0"/>
      <c r="K574" s="40"/>
      <c r="L574" s="40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0"/>
      <c r="K575" s="40"/>
      <c r="L575" s="40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0"/>
      <c r="K576" s="40"/>
      <c r="L576" s="40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0"/>
      <c r="K577" s="40"/>
      <c r="L577" s="40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0"/>
      <c r="K578" s="40"/>
      <c r="L578" s="40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0"/>
      <c r="K579" s="40"/>
      <c r="L579" s="40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0"/>
      <c r="K580" s="40"/>
      <c r="L580" s="40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0"/>
      <c r="K581" s="40"/>
      <c r="L581" s="40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0"/>
      <c r="K582" s="40"/>
      <c r="L582" s="40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0"/>
      <c r="K583" s="40"/>
      <c r="L583" s="40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0"/>
      <c r="K584" s="40"/>
      <c r="L584" s="40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0"/>
      <c r="K585" s="40"/>
      <c r="L585" s="40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0"/>
      <c r="K586" s="40"/>
      <c r="L586" s="40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0"/>
      <c r="K587" s="40"/>
      <c r="L587" s="40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0"/>
      <c r="K588" s="40"/>
      <c r="L588" s="40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0"/>
      <c r="K589" s="40"/>
      <c r="L589" s="40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0"/>
      <c r="K590" s="40"/>
      <c r="L590" s="40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0"/>
      <c r="K591" s="40"/>
      <c r="L591" s="40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0"/>
      <c r="K592" s="40"/>
      <c r="L592" s="40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0"/>
      <c r="K593" s="40"/>
      <c r="L593" s="40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0"/>
      <c r="K594" s="40"/>
      <c r="L594" s="40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0"/>
      <c r="K595" s="40"/>
      <c r="L595" s="40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0"/>
      <c r="K596" s="40"/>
      <c r="L596" s="40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0"/>
      <c r="K597" s="40"/>
      <c r="L597" s="40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0"/>
      <c r="K598" s="40"/>
      <c r="L598" s="40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0"/>
      <c r="K599" s="40"/>
      <c r="L599" s="40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0"/>
      <c r="K600" s="40"/>
      <c r="L600" s="40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0"/>
      <c r="K601" s="40"/>
      <c r="L601" s="40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0"/>
      <c r="K602" s="40"/>
      <c r="L602" s="40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0"/>
      <c r="K603" s="40"/>
      <c r="L603" s="40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0"/>
      <c r="K604" s="40"/>
      <c r="L604" s="40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0"/>
      <c r="K605" s="40"/>
      <c r="L605" s="40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0"/>
      <c r="K606" s="40"/>
      <c r="L606" s="40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0"/>
      <c r="K607" s="40"/>
      <c r="L607" s="40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0"/>
      <c r="K608" s="40"/>
      <c r="L608" s="40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0"/>
      <c r="K609" s="40"/>
      <c r="L609" s="40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0"/>
      <c r="K610" s="40"/>
      <c r="L610" s="40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0"/>
      <c r="K611" s="40"/>
      <c r="L611" s="40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0"/>
      <c r="K612" s="40"/>
      <c r="L612" s="40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0"/>
      <c r="K613" s="40"/>
      <c r="L613" s="40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0"/>
      <c r="K614" s="40"/>
      <c r="L614" s="40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0"/>
      <c r="K615" s="40"/>
      <c r="L615" s="40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0"/>
      <c r="K616" s="40"/>
      <c r="L616" s="40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0"/>
      <c r="K617" s="40"/>
      <c r="L617" s="40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0"/>
      <c r="K618" s="40"/>
      <c r="L618" s="40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0"/>
      <c r="K619" s="40"/>
      <c r="L619" s="40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0"/>
      <c r="K620" s="40"/>
      <c r="L620" s="40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0"/>
      <c r="K621" s="40"/>
      <c r="L621" s="40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0"/>
      <c r="K622" s="40"/>
      <c r="L622" s="40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0"/>
      <c r="K623" s="40"/>
      <c r="L623" s="40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0"/>
      <c r="K624" s="40"/>
      <c r="L624" s="40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0"/>
      <c r="K625" s="40"/>
      <c r="L625" s="40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0"/>
      <c r="K626" s="40"/>
      <c r="L626" s="40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0"/>
      <c r="K627" s="40"/>
      <c r="L627" s="40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0"/>
      <c r="K628" s="40"/>
      <c r="L628" s="40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0"/>
      <c r="K629" s="40"/>
      <c r="L629" s="40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0"/>
      <c r="K630" s="40"/>
      <c r="L630" s="40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0"/>
      <c r="K631" s="40"/>
      <c r="L631" s="40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0"/>
      <c r="K632" s="40"/>
      <c r="L632" s="40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0"/>
      <c r="K633" s="40"/>
      <c r="L633" s="40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0"/>
      <c r="K634" s="40"/>
      <c r="L634" s="40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0"/>
      <c r="K635" s="40"/>
      <c r="L635" s="40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0"/>
      <c r="K636" s="40"/>
      <c r="L636" s="40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0"/>
      <c r="K637" s="40"/>
      <c r="L637" s="40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0"/>
      <c r="K638" s="40"/>
      <c r="L638" s="40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0"/>
      <c r="K639" s="40"/>
      <c r="L639" s="40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0"/>
      <c r="K640" s="40"/>
      <c r="L640" s="40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0"/>
      <c r="K641" s="40"/>
      <c r="L641" s="40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0"/>
      <c r="K642" s="40"/>
      <c r="L642" s="40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0"/>
      <c r="K643" s="40"/>
      <c r="L643" s="40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0"/>
      <c r="K644" s="40"/>
      <c r="L644" s="40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0"/>
      <c r="K645" s="40"/>
      <c r="L645" s="40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0"/>
      <c r="K646" s="40"/>
      <c r="L646" s="40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0"/>
      <c r="K647" s="40"/>
      <c r="L647" s="40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0"/>
      <c r="K648" s="40"/>
      <c r="L648" s="40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0"/>
      <c r="K649" s="40"/>
      <c r="L649" s="40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0"/>
      <c r="K650" s="40"/>
      <c r="L650" s="40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0"/>
      <c r="K651" s="40"/>
      <c r="L651" s="40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0"/>
      <c r="K652" s="40"/>
      <c r="L652" s="40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0"/>
      <c r="K653" s="40"/>
      <c r="L653" s="40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0"/>
      <c r="K654" s="40"/>
      <c r="L654" s="40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0"/>
      <c r="K655" s="40"/>
      <c r="L655" s="40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0"/>
      <c r="K656" s="40"/>
      <c r="L656" s="40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0"/>
      <c r="K657" s="40"/>
      <c r="L657" s="40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0"/>
      <c r="K658" s="40"/>
      <c r="L658" s="40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0"/>
      <c r="K659" s="40"/>
      <c r="L659" s="40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0"/>
      <c r="K660" s="40"/>
      <c r="L660" s="40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0"/>
      <c r="K661" s="40"/>
      <c r="L661" s="40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0"/>
      <c r="K662" s="40"/>
      <c r="L662" s="40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0"/>
      <c r="K663" s="40"/>
      <c r="L663" s="40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0"/>
      <c r="K664" s="40"/>
      <c r="L664" s="40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0"/>
      <c r="K665" s="40"/>
      <c r="L665" s="40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0"/>
      <c r="K666" s="40"/>
      <c r="L666" s="40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0"/>
      <c r="K667" s="40"/>
      <c r="L667" s="40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0"/>
      <c r="K668" s="40"/>
      <c r="L668" s="40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0"/>
      <c r="K669" s="40"/>
      <c r="L669" s="40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0"/>
      <c r="K670" s="40"/>
      <c r="L670" s="40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0"/>
      <c r="K671" s="40"/>
      <c r="L671" s="40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0"/>
      <c r="K672" s="40"/>
      <c r="L672" s="40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0"/>
      <c r="K673" s="40"/>
      <c r="L673" s="40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0"/>
      <c r="K674" s="40"/>
      <c r="L674" s="40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0"/>
      <c r="K675" s="40"/>
      <c r="L675" s="40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0"/>
      <c r="K676" s="40"/>
      <c r="L676" s="40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0"/>
      <c r="K677" s="40"/>
      <c r="L677" s="40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0"/>
      <c r="K678" s="40"/>
      <c r="L678" s="40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0"/>
      <c r="K679" s="40"/>
      <c r="L679" s="40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0"/>
      <c r="K680" s="40"/>
      <c r="L680" s="40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0"/>
      <c r="K681" s="40"/>
      <c r="L681" s="40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0"/>
      <c r="K682" s="40"/>
      <c r="L682" s="40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0"/>
      <c r="K683" s="40"/>
      <c r="L683" s="40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0"/>
      <c r="K684" s="40"/>
      <c r="L684" s="40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0"/>
      <c r="K685" s="40"/>
      <c r="L685" s="40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0"/>
      <c r="K686" s="40"/>
      <c r="L686" s="40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0"/>
      <c r="K687" s="40"/>
      <c r="L687" s="40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0"/>
      <c r="K688" s="40"/>
      <c r="L688" s="40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0"/>
      <c r="K689" s="40"/>
      <c r="L689" s="40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0"/>
      <c r="K690" s="40"/>
      <c r="L690" s="40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0"/>
      <c r="K691" s="40"/>
      <c r="L691" s="40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0"/>
      <c r="K692" s="40"/>
      <c r="L692" s="40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0"/>
      <c r="K693" s="40"/>
      <c r="L693" s="40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0"/>
      <c r="K694" s="40"/>
      <c r="L694" s="40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0"/>
      <c r="K695" s="40"/>
      <c r="L695" s="40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0"/>
      <c r="K696" s="40"/>
      <c r="L696" s="40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0"/>
      <c r="K697" s="40"/>
      <c r="L697" s="40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0"/>
      <c r="K698" s="40"/>
      <c r="L698" s="40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0"/>
      <c r="K699" s="40"/>
      <c r="L699" s="40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0"/>
      <c r="K700" s="40"/>
      <c r="L700" s="40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0"/>
      <c r="K701" s="40"/>
      <c r="L701" s="40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0"/>
      <c r="K702" s="40"/>
      <c r="L702" s="40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0"/>
      <c r="K703" s="40"/>
      <c r="L703" s="40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0"/>
      <c r="K704" s="40"/>
      <c r="L704" s="40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0"/>
      <c r="K705" s="40"/>
      <c r="L705" s="40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0"/>
      <c r="K706" s="40"/>
      <c r="L706" s="40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0"/>
      <c r="K707" s="40"/>
      <c r="L707" s="40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0"/>
      <c r="K708" s="40"/>
      <c r="L708" s="40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0"/>
      <c r="K709" s="40"/>
      <c r="L709" s="40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0"/>
      <c r="K710" s="40"/>
      <c r="L710" s="40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0"/>
      <c r="K711" s="40"/>
      <c r="L711" s="40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0"/>
      <c r="K712" s="40"/>
      <c r="L712" s="40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0"/>
      <c r="K713" s="40"/>
      <c r="L713" s="40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0"/>
      <c r="K714" s="40"/>
      <c r="L714" s="40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0"/>
      <c r="K715" s="40"/>
      <c r="L715" s="40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0"/>
      <c r="K716" s="40"/>
      <c r="L716" s="40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0"/>
      <c r="K717" s="40"/>
      <c r="L717" s="40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0"/>
      <c r="K718" s="40"/>
      <c r="L718" s="40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0"/>
      <c r="K719" s="40"/>
      <c r="L719" s="40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0"/>
      <c r="K720" s="40"/>
      <c r="L720" s="40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0"/>
      <c r="K721" s="40"/>
      <c r="L721" s="40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0"/>
      <c r="K722" s="40"/>
      <c r="L722" s="40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0"/>
      <c r="K723" s="40"/>
      <c r="L723" s="40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0"/>
      <c r="K724" s="40"/>
      <c r="L724" s="40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0"/>
      <c r="K725" s="40"/>
      <c r="L725" s="40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0"/>
      <c r="K726" s="40"/>
      <c r="L726" s="40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0"/>
      <c r="K727" s="40"/>
      <c r="L727" s="40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0"/>
      <c r="K728" s="40"/>
      <c r="L728" s="40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0"/>
      <c r="K729" s="40"/>
      <c r="L729" s="40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0"/>
      <c r="K730" s="40"/>
      <c r="L730" s="40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0"/>
      <c r="K731" s="40"/>
      <c r="L731" s="40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0"/>
      <c r="K732" s="40"/>
      <c r="L732" s="40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0"/>
      <c r="K733" s="40"/>
      <c r="L733" s="40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0"/>
      <c r="K734" s="40"/>
      <c r="L734" s="40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0"/>
      <c r="K735" s="40"/>
      <c r="L735" s="40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0"/>
      <c r="K736" s="40"/>
      <c r="L736" s="40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0"/>
      <c r="K737" s="40"/>
      <c r="L737" s="40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0"/>
      <c r="K738" s="40"/>
      <c r="L738" s="40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0"/>
      <c r="K739" s="40"/>
      <c r="L739" s="40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0"/>
      <c r="K740" s="40"/>
      <c r="L740" s="40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0"/>
      <c r="K741" s="40"/>
      <c r="L741" s="40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0"/>
      <c r="K742" s="40"/>
      <c r="L742" s="40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0"/>
      <c r="K743" s="40"/>
      <c r="L743" s="40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0"/>
      <c r="K744" s="40"/>
      <c r="L744" s="40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0"/>
      <c r="K745" s="40"/>
      <c r="L745" s="40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0"/>
      <c r="K746" s="40"/>
      <c r="L746" s="40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0"/>
      <c r="K747" s="40"/>
      <c r="L747" s="40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0"/>
      <c r="K748" s="40"/>
      <c r="L748" s="40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0"/>
      <c r="K749" s="40"/>
      <c r="L749" s="40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0"/>
      <c r="K750" s="40"/>
      <c r="L750" s="40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0"/>
      <c r="K751" s="40"/>
      <c r="L751" s="40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0"/>
      <c r="K752" s="40"/>
      <c r="L752" s="40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0"/>
      <c r="K753" s="40"/>
      <c r="L753" s="40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0"/>
      <c r="K754" s="40"/>
      <c r="L754" s="40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0"/>
      <c r="K755" s="40"/>
      <c r="L755" s="40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0"/>
      <c r="K756" s="40"/>
      <c r="L756" s="40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0"/>
      <c r="K757" s="40"/>
      <c r="L757" s="40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0"/>
      <c r="K758" s="40"/>
      <c r="L758" s="40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0"/>
      <c r="K759" s="40"/>
      <c r="L759" s="40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0"/>
      <c r="K760" s="40"/>
      <c r="L760" s="40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0"/>
      <c r="K761" s="40"/>
      <c r="L761" s="40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0"/>
      <c r="K762" s="40"/>
      <c r="L762" s="40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0"/>
      <c r="K763" s="40"/>
      <c r="L763" s="40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0"/>
      <c r="K764" s="40"/>
      <c r="L764" s="40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0"/>
      <c r="K765" s="40"/>
      <c r="L765" s="40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0"/>
      <c r="K766" s="40"/>
      <c r="L766" s="40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0"/>
      <c r="K767" s="40"/>
      <c r="L767" s="40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0"/>
      <c r="K768" s="40"/>
      <c r="L768" s="40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0"/>
      <c r="K769" s="40"/>
      <c r="L769" s="40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0"/>
      <c r="K770" s="40"/>
      <c r="L770" s="40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0"/>
      <c r="K771" s="40"/>
      <c r="L771" s="40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0"/>
      <c r="K772" s="40"/>
      <c r="L772" s="40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0"/>
      <c r="K773" s="40"/>
      <c r="L773" s="40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0"/>
      <c r="K774" s="40"/>
      <c r="L774" s="40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0"/>
      <c r="K775" s="40"/>
      <c r="L775" s="40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0"/>
      <c r="K776" s="40"/>
      <c r="L776" s="40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0"/>
      <c r="K777" s="40"/>
      <c r="L777" s="40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0"/>
      <c r="K778" s="40"/>
      <c r="L778" s="40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0"/>
      <c r="K779" s="40"/>
      <c r="L779" s="40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0"/>
      <c r="K780" s="40"/>
      <c r="L780" s="40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0"/>
      <c r="K781" s="40"/>
      <c r="L781" s="40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0"/>
      <c r="K782" s="40"/>
      <c r="L782" s="40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0"/>
      <c r="K783" s="40"/>
      <c r="L783" s="40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0"/>
      <c r="K784" s="40"/>
      <c r="L784" s="40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0"/>
      <c r="K785" s="40"/>
      <c r="L785" s="40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0"/>
      <c r="K786" s="40"/>
      <c r="L786" s="40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0"/>
      <c r="K787" s="40"/>
      <c r="L787" s="40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0"/>
      <c r="K788" s="40"/>
      <c r="L788" s="40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0"/>
      <c r="K789" s="40"/>
      <c r="L789" s="40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0"/>
      <c r="K790" s="40"/>
      <c r="L790" s="40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0"/>
      <c r="K791" s="40"/>
      <c r="L791" s="40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0"/>
      <c r="K792" s="40"/>
      <c r="L792" s="40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0"/>
      <c r="K793" s="40"/>
      <c r="L793" s="40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0"/>
      <c r="K794" s="40"/>
      <c r="L794" s="40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0"/>
      <c r="K795" s="40"/>
      <c r="L795" s="40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0"/>
      <c r="K796" s="40"/>
      <c r="L796" s="40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0"/>
      <c r="K797" s="40"/>
      <c r="L797" s="40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0"/>
      <c r="K798" s="40"/>
      <c r="L798" s="40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0"/>
      <c r="K799" s="40"/>
      <c r="L799" s="40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0"/>
      <c r="K800" s="40"/>
      <c r="L800" s="40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0"/>
      <c r="K801" s="40"/>
      <c r="L801" s="40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0"/>
      <c r="K802" s="40"/>
      <c r="L802" s="40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0"/>
      <c r="K803" s="40"/>
      <c r="L803" s="40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0"/>
      <c r="K804" s="40"/>
      <c r="L804" s="40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0"/>
      <c r="K805" s="40"/>
      <c r="L805" s="40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0"/>
      <c r="K806" s="40"/>
      <c r="L806" s="40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0"/>
      <c r="K807" s="40"/>
      <c r="L807" s="40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0"/>
      <c r="K808" s="40"/>
      <c r="L808" s="40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0"/>
      <c r="K809" s="40"/>
      <c r="L809" s="40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0"/>
      <c r="K810" s="40"/>
      <c r="L810" s="40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0"/>
      <c r="K811" s="40"/>
      <c r="L811" s="40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0"/>
      <c r="K812" s="40"/>
      <c r="L812" s="40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0"/>
      <c r="K813" s="40"/>
      <c r="L813" s="40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0"/>
      <c r="K814" s="40"/>
      <c r="L814" s="40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0"/>
      <c r="K815" s="40"/>
      <c r="L815" s="40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0"/>
      <c r="K816" s="40"/>
      <c r="L816" s="40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0"/>
      <c r="K817" s="40"/>
      <c r="L817" s="40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0"/>
      <c r="K818" s="40"/>
      <c r="L818" s="40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0"/>
      <c r="K819" s="40"/>
      <c r="L819" s="40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0"/>
      <c r="K820" s="40"/>
      <c r="L820" s="40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0"/>
      <c r="K821" s="40"/>
      <c r="L821" s="40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0"/>
      <c r="K822" s="40"/>
      <c r="L822" s="40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0"/>
      <c r="K823" s="40"/>
      <c r="L823" s="40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0"/>
      <c r="K824" s="40"/>
      <c r="L824" s="40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0"/>
      <c r="K825" s="40"/>
      <c r="L825" s="40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0"/>
      <c r="K826" s="40"/>
      <c r="L826" s="40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0"/>
      <c r="K827" s="40"/>
      <c r="L827" s="40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0"/>
      <c r="K828" s="40"/>
      <c r="L828" s="40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0"/>
      <c r="K829" s="40"/>
      <c r="L829" s="40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0"/>
      <c r="K830" s="40"/>
      <c r="L830" s="40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0"/>
      <c r="K831" s="40"/>
      <c r="L831" s="40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0"/>
      <c r="K832" s="40"/>
      <c r="L832" s="40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0"/>
      <c r="K833" s="40"/>
      <c r="L833" s="40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0"/>
      <c r="K834" s="40"/>
      <c r="L834" s="40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0"/>
      <c r="K835" s="40"/>
      <c r="L835" s="40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0"/>
      <c r="K836" s="40"/>
      <c r="L836" s="40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0"/>
      <c r="K837" s="40"/>
      <c r="L837" s="40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0"/>
      <c r="K838" s="40"/>
      <c r="L838" s="40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0"/>
      <c r="K839" s="40"/>
      <c r="L839" s="40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0"/>
      <c r="K840" s="40"/>
      <c r="L840" s="40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0"/>
      <c r="K841" s="40"/>
      <c r="L841" s="40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0"/>
      <c r="K842" s="40"/>
      <c r="L842" s="40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0"/>
      <c r="K843" s="40"/>
      <c r="L843" s="40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0"/>
      <c r="K844" s="40"/>
      <c r="L844" s="40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0"/>
      <c r="K845" s="40"/>
      <c r="L845" s="40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0"/>
      <c r="K846" s="40"/>
      <c r="L846" s="40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0"/>
      <c r="K847" s="40"/>
      <c r="L847" s="40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0"/>
      <c r="K848" s="40"/>
      <c r="L848" s="40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0"/>
      <c r="K849" s="40"/>
      <c r="L849" s="40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0"/>
      <c r="K850" s="40"/>
      <c r="L850" s="40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0"/>
      <c r="K851" s="40"/>
      <c r="L851" s="40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0"/>
      <c r="K852" s="40"/>
      <c r="L852" s="40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0"/>
      <c r="K853" s="40"/>
      <c r="L853" s="40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0"/>
      <c r="K854" s="40"/>
      <c r="L854" s="40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0"/>
      <c r="K855" s="40"/>
      <c r="L855" s="40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0"/>
      <c r="K856" s="40"/>
      <c r="L856" s="40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0"/>
      <c r="K857" s="40"/>
      <c r="L857" s="40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0"/>
      <c r="K858" s="40"/>
      <c r="L858" s="40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0"/>
      <c r="K859" s="40"/>
      <c r="L859" s="40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0"/>
      <c r="K860" s="40"/>
      <c r="L860" s="40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0"/>
      <c r="K861" s="40"/>
      <c r="L861" s="40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0"/>
      <c r="K862" s="40"/>
      <c r="L862" s="40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0"/>
      <c r="K863" s="40"/>
      <c r="L863" s="40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0"/>
      <c r="K864" s="40"/>
      <c r="L864" s="40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0"/>
      <c r="K865" s="40"/>
      <c r="L865" s="40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0"/>
      <c r="K866" s="40"/>
      <c r="L866" s="40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0"/>
      <c r="K867" s="40"/>
      <c r="L867" s="40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0"/>
      <c r="K868" s="40"/>
      <c r="L868" s="40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0"/>
      <c r="K869" s="40"/>
      <c r="L869" s="40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0"/>
      <c r="K870" s="40"/>
      <c r="L870" s="40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0"/>
      <c r="K871" s="40"/>
      <c r="L871" s="40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0"/>
      <c r="K872" s="40"/>
      <c r="L872" s="40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0"/>
      <c r="K873" s="40"/>
      <c r="L873" s="40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0"/>
      <c r="K874" s="40"/>
      <c r="L874" s="40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0"/>
      <c r="K875" s="40"/>
      <c r="L875" s="40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0"/>
      <c r="K876" s="40"/>
      <c r="L876" s="40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0"/>
      <c r="K877" s="40"/>
      <c r="L877" s="40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0"/>
      <c r="K878" s="40"/>
      <c r="L878" s="40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0"/>
      <c r="K879" s="40"/>
      <c r="L879" s="40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0"/>
      <c r="K880" s="40"/>
      <c r="L880" s="40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0"/>
      <c r="K881" s="40"/>
      <c r="L881" s="40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0"/>
      <c r="K882" s="40"/>
      <c r="L882" s="40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0"/>
      <c r="K883" s="40"/>
      <c r="L883" s="40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0"/>
      <c r="K884" s="40"/>
      <c r="L884" s="40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0"/>
      <c r="K885" s="40"/>
      <c r="L885" s="40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0"/>
      <c r="K886" s="40"/>
      <c r="L886" s="40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0"/>
      <c r="K887" s="40"/>
      <c r="L887" s="40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0"/>
      <c r="K888" s="40"/>
      <c r="L888" s="40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0"/>
      <c r="K889" s="40"/>
      <c r="L889" s="40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0"/>
      <c r="K890" s="40"/>
      <c r="L890" s="40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0"/>
      <c r="K891" s="40"/>
      <c r="L891" s="40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0"/>
      <c r="K892" s="40"/>
      <c r="L892" s="40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0"/>
      <c r="K893" s="40"/>
      <c r="L893" s="40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0"/>
      <c r="K894" s="40"/>
      <c r="L894" s="40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0"/>
      <c r="K895" s="40"/>
      <c r="L895" s="40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0"/>
      <c r="K896" s="40"/>
      <c r="L896" s="40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0"/>
      <c r="K897" s="40"/>
      <c r="L897" s="40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0"/>
      <c r="K898" s="40"/>
      <c r="L898" s="40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0"/>
      <c r="K899" s="40"/>
      <c r="L899" s="40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0"/>
      <c r="K900" s="40"/>
      <c r="L900" s="40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0"/>
      <c r="K901" s="40"/>
      <c r="L901" s="40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0"/>
      <c r="K902" s="40"/>
      <c r="L902" s="40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0"/>
      <c r="K903" s="40"/>
      <c r="L903" s="40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0"/>
      <c r="K904" s="40"/>
      <c r="L904" s="40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0"/>
      <c r="K905" s="40"/>
      <c r="L905" s="40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0"/>
      <c r="K906" s="40"/>
      <c r="L906" s="40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0"/>
      <c r="K907" s="40"/>
      <c r="L907" s="40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0"/>
      <c r="K908" s="40"/>
      <c r="L908" s="40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0"/>
      <c r="K909" s="40"/>
      <c r="L909" s="40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0"/>
      <c r="K910" s="40"/>
      <c r="L910" s="40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0"/>
      <c r="K911" s="40"/>
      <c r="L911" s="40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0"/>
      <c r="K912" s="40"/>
      <c r="L912" s="40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0"/>
      <c r="K913" s="40"/>
      <c r="L913" s="40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0"/>
      <c r="K914" s="40"/>
      <c r="L914" s="40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0"/>
      <c r="K915" s="40"/>
      <c r="L915" s="40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0"/>
      <c r="K916" s="40"/>
      <c r="L916" s="40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0"/>
      <c r="K917" s="40"/>
      <c r="L917" s="40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0"/>
      <c r="K918" s="40"/>
      <c r="L918" s="40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0"/>
      <c r="K919" s="40"/>
      <c r="L919" s="40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0"/>
      <c r="K920" s="40"/>
      <c r="L920" s="40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0"/>
      <c r="K921" s="40"/>
      <c r="L921" s="40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0"/>
      <c r="K922" s="40"/>
      <c r="L922" s="40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0"/>
      <c r="K923" s="40"/>
      <c r="L923" s="40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0"/>
      <c r="K924" s="40"/>
      <c r="L924" s="40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0"/>
      <c r="K925" s="40"/>
      <c r="L925" s="40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0"/>
      <c r="K926" s="40"/>
      <c r="L926" s="40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0"/>
      <c r="K927" s="40"/>
      <c r="L927" s="40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0"/>
      <c r="K928" s="40"/>
      <c r="L928" s="40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0"/>
      <c r="K929" s="40"/>
      <c r="L929" s="40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0"/>
      <c r="K930" s="40"/>
      <c r="L930" s="40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0"/>
      <c r="K931" s="40"/>
      <c r="L931" s="40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0"/>
      <c r="K932" s="40"/>
      <c r="L932" s="40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0"/>
      <c r="K933" s="40"/>
      <c r="L933" s="40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0"/>
      <c r="K934" s="40"/>
      <c r="L934" s="40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0"/>
      <c r="K935" s="40"/>
      <c r="L935" s="40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0"/>
      <c r="K936" s="40"/>
      <c r="L936" s="40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0"/>
      <c r="K937" s="40"/>
      <c r="L937" s="40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0"/>
      <c r="K938" s="40"/>
      <c r="L938" s="40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0"/>
      <c r="K939" s="40"/>
      <c r="L939" s="40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0"/>
      <c r="K940" s="40"/>
      <c r="L940" s="40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0"/>
      <c r="K941" s="40"/>
      <c r="L941" s="40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0"/>
      <c r="K942" s="40"/>
      <c r="L942" s="40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0"/>
      <c r="K943" s="40"/>
      <c r="L943" s="40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0"/>
      <c r="K944" s="40"/>
      <c r="L944" s="40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0"/>
      <c r="K945" s="40"/>
      <c r="L945" s="40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0"/>
      <c r="K946" s="40"/>
      <c r="L946" s="40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0"/>
      <c r="K947" s="40"/>
      <c r="L947" s="40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0"/>
      <c r="K948" s="40"/>
      <c r="L948" s="40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0"/>
      <c r="K949" s="40"/>
      <c r="L949" s="40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0"/>
      <c r="K950" s="40"/>
      <c r="L950" s="40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0"/>
      <c r="K951" s="40"/>
      <c r="L951" s="40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0"/>
      <c r="K952" s="40"/>
      <c r="L952" s="40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0"/>
      <c r="K953" s="40"/>
      <c r="L953" s="40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0"/>
      <c r="K954" s="40"/>
      <c r="L954" s="40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0"/>
      <c r="K955" s="40"/>
      <c r="L955" s="40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0"/>
      <c r="K956" s="40"/>
      <c r="L956" s="40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0"/>
      <c r="K957" s="40"/>
      <c r="L957" s="40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0"/>
      <c r="K958" s="40"/>
      <c r="L958" s="40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0"/>
      <c r="K959" s="40"/>
      <c r="L959" s="40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0"/>
      <c r="K960" s="40"/>
      <c r="L960" s="40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0"/>
      <c r="K961" s="40"/>
      <c r="L961" s="40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0"/>
      <c r="K962" s="40"/>
      <c r="L962" s="40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0"/>
      <c r="K963" s="40"/>
      <c r="L963" s="40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0"/>
      <c r="K964" s="40"/>
      <c r="L964" s="40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0"/>
      <c r="K965" s="40"/>
      <c r="L965" s="40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0"/>
      <c r="K966" s="40"/>
      <c r="L966" s="40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0"/>
      <c r="K967" s="40"/>
      <c r="L967" s="40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0"/>
      <c r="K968" s="40"/>
      <c r="L968" s="40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0"/>
      <c r="K969" s="40"/>
      <c r="L969" s="40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0"/>
      <c r="K970" s="40"/>
      <c r="L970" s="40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0"/>
      <c r="K971" s="40"/>
      <c r="L971" s="40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0"/>
      <c r="K972" s="40"/>
      <c r="L972" s="40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0"/>
      <c r="K973" s="40"/>
      <c r="L973" s="40"/>
      <c r="M973" s="3"/>
      <c r="N973" s="3"/>
      <c r="O973" s="3"/>
      <c r="Q973" s="4"/>
      <c r="R973" s="5"/>
      <c r="S973" s="5"/>
    </row>
  </sheetData>
  <sheetProtection algorithmName="SHA-512" hashValue="1OnfjX+X3AVyZAiBoJ8ZvZC+eTKtOPF7Hl1VAHj/q4SS5dvOCXun/LxND5aD85KLGF7+718+2VArjLbqKpaYQA==" saltValue="nJItnl04UH5jPQj4uE3a3A==" spinCount="100000" sheet="1" objects="1" scenarios="1"/>
  <mergeCells count="6">
    <mergeCell ref="D10:K10"/>
    <mergeCell ref="B2:S2"/>
    <mergeCell ref="M3:O3"/>
    <mergeCell ref="Q3:S3"/>
    <mergeCell ref="J4:L4"/>
    <mergeCell ref="D8:K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Valmir Zarpelon</dc:creator>
  <cp:lastModifiedBy>Valmir Zarpelon</cp:lastModifiedBy>
  <dcterms:created xsi:type="dcterms:W3CDTF">2006-09-16T00:00:00Z</dcterms:created>
  <dcterms:modified xsi:type="dcterms:W3CDTF">2024-03-05T19:54:32Z</dcterms:modified>
</cp:coreProperties>
</file>