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EstaPasta_de_trabalho" defaultThemeVersion="124226"/>
  <bookViews>
    <workbookView xWindow="240" yWindow="405" windowWidth="14805" windowHeight="7710"/>
  </bookViews>
  <sheets>
    <sheet name="RESUMO GERAL" sheetId="9" r:id="rId1"/>
    <sheet name="JAN-19" sheetId="1" r:id="rId2"/>
    <sheet name="FEV-19" sheetId="2" r:id="rId3"/>
    <sheet name="MAR-19" sheetId="3" r:id="rId4"/>
    <sheet name="ABR-19" sheetId="4" r:id="rId5"/>
    <sheet name="MAI-19" sheetId="5" r:id="rId6"/>
    <sheet name="JUN-19" sheetId="6" r:id="rId7"/>
    <sheet name="JUL-19" sheetId="8" r:id="rId8"/>
    <sheet name="AGO-19" sheetId="7" r:id="rId9"/>
    <sheet name="SET-19" sheetId="10" r:id="rId10"/>
    <sheet name="OUT-19" sheetId="11" r:id="rId11"/>
    <sheet name="NOV-19" sheetId="12" r:id="rId12"/>
    <sheet name="DEZ-19" sheetId="13" r:id="rId13"/>
  </sheets>
  <definedNames>
    <definedName name="_xlnm._FilterDatabase" localSheetId="10" hidden="1">'OUT-19'!$C$4:$S$4</definedName>
  </definedNames>
  <calcPr calcId="145621"/>
</workbook>
</file>

<file path=xl/calcChain.xml><?xml version="1.0" encoding="utf-8"?>
<calcChain xmlns="http://schemas.openxmlformats.org/spreadsheetml/2006/main">
  <c r="Q18" i="13" l="1"/>
  <c r="R16" i="12" l="1"/>
  <c r="P16" i="12"/>
  <c r="P7" i="13" l="1"/>
  <c r="P6" i="13"/>
  <c r="R7" i="13"/>
  <c r="R6" i="13"/>
  <c r="R23" i="11"/>
  <c r="R28" i="12" l="1"/>
  <c r="R14" i="12"/>
  <c r="R13" i="12"/>
  <c r="R6" i="11"/>
  <c r="Q10" i="13" l="1"/>
  <c r="Q9" i="13"/>
  <c r="Q8" i="13"/>
  <c r="Q7" i="13"/>
  <c r="Q6" i="13"/>
  <c r="S18" i="13"/>
  <c r="H18" i="13"/>
  <c r="R19" i="12"/>
  <c r="R18" i="12"/>
  <c r="P23" i="11" l="1"/>
  <c r="P5" i="12"/>
  <c r="P6" i="12"/>
  <c r="R26" i="12"/>
  <c r="R20" i="12"/>
  <c r="R25" i="12"/>
  <c r="R22" i="12"/>
  <c r="R15" i="12"/>
  <c r="R10" i="12"/>
  <c r="S32" i="12"/>
  <c r="H32" i="12"/>
  <c r="R24" i="11" l="1"/>
  <c r="Q20" i="11" l="1"/>
  <c r="Q21" i="11"/>
  <c r="Q23" i="11"/>
  <c r="Q24" i="11"/>
  <c r="Q25" i="11"/>
  <c r="Q26" i="11"/>
  <c r="Q27" i="11"/>
  <c r="Q28" i="11"/>
  <c r="Q31" i="11"/>
  <c r="Q9" i="11"/>
  <c r="S10" i="7" l="1"/>
  <c r="R11" i="10" l="1"/>
  <c r="Q27" i="12" l="1"/>
  <c r="Q25" i="12"/>
  <c r="S25" i="12" s="1"/>
  <c r="Q24" i="12"/>
  <c r="Q23" i="12"/>
  <c r="S23" i="12" s="1"/>
  <c r="Q22" i="12"/>
  <c r="S22" i="12" s="1"/>
  <c r="Q20" i="12"/>
  <c r="Q19" i="12"/>
  <c r="Q18" i="12"/>
  <c r="Q17" i="12"/>
  <c r="Q15" i="12"/>
  <c r="Q14" i="12"/>
  <c r="Q13" i="12"/>
  <c r="Q8" i="12"/>
  <c r="Q5" i="12"/>
  <c r="S19" i="12"/>
  <c r="S20" i="12"/>
  <c r="S21" i="12"/>
  <c r="S24" i="12"/>
  <c r="S26" i="12"/>
  <c r="S27" i="12"/>
  <c r="S28" i="12"/>
  <c r="S29" i="12"/>
  <c r="S30" i="12"/>
  <c r="S31" i="12"/>
  <c r="S33" i="12"/>
  <c r="H28" i="12"/>
  <c r="H29" i="12"/>
  <c r="H30" i="12"/>
  <c r="H31" i="12"/>
  <c r="H33" i="12"/>
  <c r="H19" i="12"/>
  <c r="H20" i="12"/>
  <c r="H21" i="12"/>
  <c r="H22" i="12"/>
  <c r="H23" i="12"/>
  <c r="H24" i="12"/>
  <c r="H25" i="12"/>
  <c r="R22" i="11"/>
  <c r="R21" i="11"/>
  <c r="R16" i="11"/>
  <c r="R14" i="11"/>
  <c r="R13" i="11"/>
  <c r="R12" i="11"/>
  <c r="R11" i="11"/>
  <c r="S27" i="11"/>
  <c r="S25" i="11"/>
  <c r="S23" i="11"/>
  <c r="Q18" i="11"/>
  <c r="Q17" i="11"/>
  <c r="Q15" i="11"/>
  <c r="Q14" i="11"/>
  <c r="Q13" i="11"/>
  <c r="Q12" i="11"/>
  <c r="Q11" i="11"/>
  <c r="Q10" i="11"/>
  <c r="Q5" i="11"/>
  <c r="H23" i="11"/>
  <c r="H24" i="11"/>
  <c r="H25" i="11"/>
  <c r="H26" i="11"/>
  <c r="H27" i="11"/>
  <c r="H28" i="11"/>
  <c r="H29" i="11"/>
  <c r="H30" i="11"/>
  <c r="S24" i="11"/>
  <c r="S26" i="11"/>
  <c r="S28" i="11"/>
  <c r="S29" i="11"/>
  <c r="Q12" i="10"/>
  <c r="R13" i="10"/>
  <c r="R12" i="10"/>
  <c r="R10" i="10"/>
  <c r="S16" i="7"/>
  <c r="R28" i="10" l="1"/>
  <c r="R27" i="10"/>
  <c r="R26" i="10"/>
  <c r="R25" i="10"/>
  <c r="R15" i="10"/>
  <c r="R14" i="10"/>
  <c r="R9" i="10"/>
  <c r="R8" i="10"/>
  <c r="R7" i="10"/>
  <c r="R6" i="10"/>
  <c r="R5" i="10"/>
  <c r="Q18" i="10"/>
  <c r="Q17" i="10"/>
  <c r="Q16" i="10"/>
  <c r="Q11" i="10"/>
  <c r="Q10" i="10"/>
  <c r="Q5" i="10"/>
  <c r="S21" i="10"/>
  <c r="S22" i="10"/>
  <c r="S23" i="10"/>
  <c r="S24" i="10"/>
  <c r="S25" i="10"/>
  <c r="S26" i="10"/>
  <c r="S27" i="10"/>
  <c r="S28" i="10"/>
  <c r="S29" i="10"/>
  <c r="H21" i="10"/>
  <c r="H22" i="10"/>
  <c r="H23" i="10"/>
  <c r="H24" i="10"/>
  <c r="H25" i="10"/>
  <c r="H26" i="10"/>
  <c r="H27" i="10"/>
  <c r="H28" i="10"/>
  <c r="S18" i="7"/>
  <c r="S17" i="7"/>
  <c r="S14" i="7"/>
  <c r="S13" i="7"/>
  <c r="S12" i="7"/>
  <c r="S11" i="7"/>
  <c r="S9" i="7"/>
  <c r="R21" i="7"/>
  <c r="R20" i="7"/>
  <c r="R19" i="7"/>
  <c r="R17" i="7"/>
  <c r="R16" i="7"/>
  <c r="R13" i="7"/>
  <c r="R12" i="7"/>
  <c r="R10" i="7"/>
  <c r="R7" i="7"/>
  <c r="R6" i="7"/>
  <c r="Q21" i="7"/>
  <c r="Q20" i="7"/>
  <c r="Q15" i="7"/>
  <c r="Q9" i="7"/>
  <c r="P28" i="6"/>
  <c r="R21" i="6"/>
  <c r="P15" i="8"/>
  <c r="P27" i="8"/>
  <c r="R24" i="8"/>
  <c r="R21" i="8"/>
  <c r="R9" i="8"/>
  <c r="T23" i="7" l="1"/>
  <c r="I23" i="7"/>
  <c r="R27" i="8"/>
  <c r="R23" i="8"/>
  <c r="R16" i="8"/>
  <c r="Q27" i="8"/>
  <c r="Q25" i="8"/>
  <c r="S25" i="8" s="1"/>
  <c r="Q23" i="8"/>
  <c r="Q21" i="8"/>
  <c r="Q17" i="8"/>
  <c r="Q16" i="8"/>
  <c r="Q15" i="8"/>
  <c r="S27" i="8"/>
  <c r="P25" i="8"/>
  <c r="P6" i="8"/>
  <c r="S24" i="8"/>
  <c r="S26" i="8"/>
  <c r="H24" i="8"/>
  <c r="H25" i="8"/>
  <c r="H26" i="8"/>
  <c r="H27" i="8"/>
  <c r="S15" i="8"/>
  <c r="S16" i="8"/>
  <c r="S17" i="8"/>
  <c r="S18" i="8"/>
  <c r="S19" i="8"/>
  <c r="S20" i="8"/>
  <c r="S21" i="8"/>
  <c r="S22" i="8"/>
  <c r="S23" i="8"/>
  <c r="H15" i="8"/>
  <c r="H16" i="8"/>
  <c r="H17" i="8"/>
  <c r="H18" i="8"/>
  <c r="H19" i="8"/>
  <c r="H20" i="8"/>
  <c r="H21" i="8"/>
  <c r="H22" i="8"/>
  <c r="H23" i="8"/>
  <c r="S27" i="6"/>
  <c r="S28" i="6"/>
  <c r="R30" i="6"/>
  <c r="S30" i="6" s="1"/>
  <c r="R24" i="6"/>
  <c r="R23" i="6"/>
  <c r="R22" i="6"/>
  <c r="R18" i="6"/>
  <c r="R17" i="6"/>
  <c r="R16" i="6"/>
  <c r="Q26" i="6"/>
  <c r="Q23" i="6"/>
  <c r="Q22" i="6"/>
  <c r="Q21" i="6"/>
  <c r="Q20" i="6"/>
  <c r="Q19" i="6"/>
  <c r="Q18" i="6"/>
  <c r="Q17" i="6"/>
  <c r="Q15" i="6"/>
  <c r="Q13" i="6"/>
  <c r="Q12" i="6"/>
  <c r="Q9" i="6"/>
  <c r="P23" i="6"/>
  <c r="P22" i="6"/>
  <c r="P18" i="6"/>
  <c r="P17" i="6"/>
  <c r="P15" i="6"/>
  <c r="P13" i="6"/>
  <c r="P8" i="6"/>
  <c r="M29" i="6"/>
  <c r="S29" i="6" s="1"/>
  <c r="H27" i="6"/>
  <c r="H28" i="6"/>
  <c r="H29" i="6"/>
  <c r="H30" i="6"/>
  <c r="R23" i="5" l="1"/>
  <c r="R32" i="5"/>
  <c r="R31" i="5"/>
  <c r="R30" i="5"/>
  <c r="R28" i="5"/>
  <c r="R26" i="5"/>
  <c r="R22" i="5"/>
  <c r="R21" i="5"/>
  <c r="R11" i="5"/>
  <c r="R10" i="5"/>
  <c r="R9" i="5"/>
  <c r="R8" i="5"/>
  <c r="R7" i="5"/>
  <c r="R6" i="5"/>
  <c r="Q32" i="5"/>
  <c r="Q31" i="5"/>
  <c r="Q29" i="5"/>
  <c r="Q27" i="5"/>
  <c r="Q26" i="5"/>
  <c r="Q25" i="5"/>
  <c r="Q20" i="5"/>
  <c r="Q19" i="5"/>
  <c r="Q17" i="5"/>
  <c r="Q16" i="5"/>
  <c r="Q11" i="5"/>
  <c r="Q10" i="5"/>
  <c r="Q9" i="5"/>
  <c r="P32" i="5"/>
  <c r="P31" i="5"/>
  <c r="P30" i="5"/>
  <c r="P28" i="5"/>
  <c r="P24" i="5"/>
  <c r="P23" i="5"/>
  <c r="P22" i="5"/>
  <c r="P21" i="5"/>
  <c r="P11" i="5"/>
  <c r="P10" i="5"/>
  <c r="P9" i="5"/>
  <c r="P8" i="5"/>
  <c r="P7" i="5"/>
  <c r="P6" i="5"/>
  <c r="M29" i="5"/>
  <c r="S29" i="5" s="1"/>
  <c r="M26" i="5"/>
  <c r="M25" i="5"/>
  <c r="H26" i="5"/>
  <c r="H27" i="5"/>
  <c r="H28" i="5"/>
  <c r="H29" i="5"/>
  <c r="H30" i="5"/>
  <c r="H31" i="5"/>
  <c r="H32" i="5"/>
  <c r="S26" i="5"/>
  <c r="S27" i="5"/>
  <c r="S28" i="5"/>
  <c r="S30" i="5"/>
  <c r="S31" i="5"/>
  <c r="S32" i="5"/>
  <c r="S13" i="6" l="1"/>
  <c r="S12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S14" i="5" l="1"/>
  <c r="S25" i="5"/>
  <c r="H25" i="5"/>
  <c r="S11" i="5"/>
  <c r="S12" i="5"/>
  <c r="S13" i="5"/>
  <c r="S15" i="5"/>
  <c r="S16" i="5"/>
  <c r="S17" i="5"/>
  <c r="S18" i="5"/>
  <c r="S19" i="5"/>
  <c r="S20" i="5"/>
  <c r="S21" i="5"/>
  <c r="S22" i="5"/>
  <c r="S23" i="5"/>
  <c r="S24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O34" i="5"/>
  <c r="F10" i="9" s="1"/>
  <c r="N34" i="5"/>
  <c r="E10" i="9" s="1"/>
  <c r="M34" i="5"/>
  <c r="D10" i="9" s="1"/>
  <c r="H10" i="5"/>
  <c r="H9" i="5"/>
  <c r="H8" i="5"/>
  <c r="S7" i="5"/>
  <c r="H7" i="5"/>
  <c r="H6" i="5"/>
  <c r="H5" i="5"/>
  <c r="S4" i="5"/>
  <c r="H4" i="5"/>
  <c r="R22" i="4"/>
  <c r="R18" i="4"/>
  <c r="R17" i="4"/>
  <c r="R16" i="4"/>
  <c r="R15" i="4"/>
  <c r="R14" i="4"/>
  <c r="R9" i="4"/>
  <c r="R8" i="4"/>
  <c r="R7" i="4"/>
  <c r="R6" i="4"/>
  <c r="Q22" i="4"/>
  <c r="Q21" i="4"/>
  <c r="Q15" i="4"/>
  <c r="Q13" i="4"/>
  <c r="Q12" i="4"/>
  <c r="Q11" i="4"/>
  <c r="Q10" i="4"/>
  <c r="Q6" i="4"/>
  <c r="P10" i="4"/>
  <c r="P7" i="4"/>
  <c r="P6" i="4"/>
  <c r="P34" i="5" l="1"/>
  <c r="P35" i="5" s="1"/>
  <c r="S8" i="5"/>
  <c r="S10" i="5"/>
  <c r="Q34" i="5"/>
  <c r="H10" i="9" s="1"/>
  <c r="S9" i="5"/>
  <c r="R34" i="5"/>
  <c r="I10" i="9" s="1"/>
  <c r="S5" i="5"/>
  <c r="S6" i="5"/>
  <c r="S31" i="3"/>
  <c r="S32" i="3"/>
  <c r="R30" i="3"/>
  <c r="R29" i="3"/>
  <c r="S29" i="3" s="1"/>
  <c r="R28" i="3"/>
  <c r="R26" i="3"/>
  <c r="R22" i="3"/>
  <c r="R21" i="3"/>
  <c r="R20" i="3"/>
  <c r="R19" i="3"/>
  <c r="R18" i="3"/>
  <c r="R17" i="3"/>
  <c r="R16" i="3"/>
  <c r="R14" i="3"/>
  <c r="R13" i="3"/>
  <c r="R9" i="3"/>
  <c r="R8" i="3"/>
  <c r="Q30" i="3"/>
  <c r="Q28" i="3"/>
  <c r="S28" i="3" s="1"/>
  <c r="Q22" i="3"/>
  <c r="Q21" i="3"/>
  <c r="Q20" i="3"/>
  <c r="Q19" i="3"/>
  <c r="Q15" i="3"/>
  <c r="Q10" i="3"/>
  <c r="Q5" i="3"/>
  <c r="P26" i="3"/>
  <c r="P12" i="3"/>
  <c r="P11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5" i="3"/>
  <c r="H19" i="4"/>
  <c r="H20" i="4"/>
  <c r="H21" i="4"/>
  <c r="H22" i="4"/>
  <c r="H23" i="4"/>
  <c r="H24" i="4"/>
  <c r="S34" i="5" l="1"/>
  <c r="P36" i="5"/>
  <c r="S30" i="3"/>
  <c r="S19" i="4"/>
  <c r="S20" i="4"/>
  <c r="S21" i="4"/>
  <c r="S22" i="4"/>
  <c r="S23" i="4"/>
  <c r="S24" i="4"/>
  <c r="R37" i="5" l="1"/>
  <c r="S37" i="5" s="1"/>
  <c r="G10" i="9"/>
  <c r="S24" i="3"/>
  <c r="S23" i="3"/>
  <c r="S25" i="3"/>
  <c r="S22" i="3"/>
  <c r="S26" i="3"/>
  <c r="H5" i="2" l="1"/>
  <c r="H6" i="13" l="1"/>
  <c r="H7" i="13"/>
  <c r="H8" i="13"/>
  <c r="H9" i="13"/>
  <c r="H10" i="13"/>
  <c r="H11" i="13"/>
  <c r="H12" i="13"/>
  <c r="H13" i="13"/>
  <c r="H14" i="13"/>
  <c r="H15" i="13"/>
  <c r="H16" i="13"/>
  <c r="H17" i="13"/>
  <c r="H19" i="13"/>
  <c r="H5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5" i="12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5" i="11"/>
  <c r="H6" i="11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9" i="10"/>
  <c r="H5" i="10"/>
  <c r="H6" i="10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5" i="7"/>
  <c r="I6" i="7"/>
  <c r="H6" i="8"/>
  <c r="H7" i="8"/>
  <c r="H8" i="8"/>
  <c r="H9" i="8"/>
  <c r="H10" i="8"/>
  <c r="H11" i="8"/>
  <c r="H12" i="8"/>
  <c r="H13" i="8"/>
  <c r="H14" i="8"/>
  <c r="H4" i="8"/>
  <c r="H5" i="8"/>
  <c r="H6" i="6"/>
  <c r="H7" i="6"/>
  <c r="H8" i="6"/>
  <c r="H9" i="6"/>
  <c r="H5" i="6"/>
  <c r="H4" i="6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7" i="1"/>
  <c r="H8" i="1"/>
  <c r="H9" i="1"/>
  <c r="H10" i="1"/>
  <c r="H11" i="1"/>
  <c r="H12" i="1"/>
  <c r="H13" i="1"/>
  <c r="H14" i="1"/>
  <c r="H15" i="1"/>
  <c r="H16" i="1"/>
  <c r="H17" i="1"/>
  <c r="H6" i="1"/>
  <c r="H5" i="1"/>
  <c r="H14" i="2"/>
  <c r="H12" i="2"/>
  <c r="H6" i="2"/>
  <c r="H7" i="2"/>
  <c r="H8" i="2"/>
  <c r="H9" i="2"/>
  <c r="H10" i="2"/>
  <c r="H11" i="2"/>
  <c r="H13" i="2"/>
  <c r="H15" i="2"/>
  <c r="H16" i="2"/>
  <c r="H17" i="2"/>
  <c r="H18" i="2"/>
  <c r="H19" i="2"/>
  <c r="H20" i="2"/>
  <c r="H21" i="2"/>
  <c r="H22" i="2"/>
  <c r="H23" i="2"/>
  <c r="H24" i="2"/>
  <c r="R24" i="2" l="1"/>
  <c r="R23" i="2"/>
  <c r="R22" i="2"/>
  <c r="R21" i="2"/>
  <c r="R20" i="2"/>
  <c r="R15" i="2"/>
  <c r="R14" i="2"/>
  <c r="R13" i="2"/>
  <c r="R12" i="2"/>
  <c r="R10" i="2"/>
  <c r="R9" i="2"/>
  <c r="R7" i="2"/>
  <c r="R6" i="2"/>
  <c r="R5" i="2"/>
  <c r="Q23" i="2"/>
  <c r="S23" i="2" s="1"/>
  <c r="Q19" i="2"/>
  <c r="Q17" i="2"/>
  <c r="Q15" i="2"/>
  <c r="Q14" i="2"/>
  <c r="Q13" i="2"/>
  <c r="Q12" i="2"/>
  <c r="Q11" i="2"/>
  <c r="Q10" i="2"/>
  <c r="Q7" i="2"/>
  <c r="Q6" i="2"/>
  <c r="Q5" i="2"/>
  <c r="P22" i="2"/>
  <c r="S22" i="2" s="1"/>
  <c r="M10" i="2"/>
  <c r="S24" i="2"/>
  <c r="R17" i="1" l="1"/>
  <c r="R14" i="1"/>
  <c r="R13" i="1"/>
  <c r="R12" i="1"/>
  <c r="R11" i="1"/>
  <c r="R8" i="1"/>
  <c r="R7" i="1"/>
  <c r="Q16" i="1"/>
  <c r="Q15" i="1"/>
  <c r="Q14" i="1"/>
  <c r="Q13" i="1"/>
  <c r="Q9" i="1"/>
  <c r="Q8" i="1"/>
  <c r="Q7" i="1"/>
  <c r="P11" i="1"/>
  <c r="P8" i="1"/>
  <c r="P7" i="1"/>
  <c r="N8" i="1"/>
  <c r="S5" i="6" l="1"/>
  <c r="S6" i="6"/>
  <c r="S7" i="6"/>
  <c r="S8" i="6"/>
  <c r="S9" i="6"/>
  <c r="S10" i="6"/>
  <c r="S11" i="6"/>
  <c r="S4" i="6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7" i="3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5" i="2"/>
  <c r="S6" i="1"/>
  <c r="S7" i="1"/>
  <c r="S8" i="1"/>
  <c r="S9" i="1"/>
  <c r="S10" i="1"/>
  <c r="S11" i="1"/>
  <c r="S12" i="1"/>
  <c r="S13" i="1"/>
  <c r="S14" i="1"/>
  <c r="S15" i="1"/>
  <c r="S16" i="1"/>
  <c r="S17" i="1"/>
  <c r="S5" i="1"/>
  <c r="S14" i="13" l="1"/>
  <c r="S5" i="13"/>
  <c r="S6" i="13"/>
  <c r="S7" i="13"/>
  <c r="S10" i="13"/>
  <c r="S11" i="13"/>
  <c r="S12" i="13"/>
  <c r="S13" i="13"/>
  <c r="S15" i="13"/>
  <c r="S16" i="13"/>
  <c r="S17" i="13"/>
  <c r="S9" i="13" l="1"/>
  <c r="S8" i="13"/>
  <c r="S18" i="12"/>
  <c r="S17" i="12"/>
  <c r="S15" i="12"/>
  <c r="S16" i="12"/>
  <c r="S13" i="12" l="1"/>
  <c r="S14" i="12"/>
  <c r="S30" i="11" l="1"/>
  <c r="R20" i="13" l="1"/>
  <c r="I17" i="9" s="1"/>
  <c r="Q20" i="13"/>
  <c r="H17" i="9" s="1"/>
  <c r="P20" i="13"/>
  <c r="O20" i="13"/>
  <c r="F17" i="9" s="1"/>
  <c r="N20" i="13"/>
  <c r="E17" i="9" s="1"/>
  <c r="M20" i="13"/>
  <c r="S19" i="13"/>
  <c r="R34" i="12"/>
  <c r="Q34" i="12"/>
  <c r="P34" i="12"/>
  <c r="O34" i="12"/>
  <c r="F16" i="9" s="1"/>
  <c r="N34" i="12"/>
  <c r="E16" i="9" s="1"/>
  <c r="M34" i="12"/>
  <c r="D16" i="9" s="1"/>
  <c r="S12" i="12"/>
  <c r="S11" i="12"/>
  <c r="S10" i="12"/>
  <c r="S9" i="12"/>
  <c r="S8" i="12"/>
  <c r="S7" i="12"/>
  <c r="S6" i="12"/>
  <c r="S5" i="12"/>
  <c r="R31" i="11"/>
  <c r="I15" i="9" s="1"/>
  <c r="H15" i="9"/>
  <c r="P31" i="11"/>
  <c r="O31" i="11"/>
  <c r="F15" i="9" s="1"/>
  <c r="N31" i="11"/>
  <c r="E15" i="9" s="1"/>
  <c r="M31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O30" i="10"/>
  <c r="F14" i="9" s="1"/>
  <c r="N30" i="10"/>
  <c r="E14" i="9" s="1"/>
  <c r="S20" i="10"/>
  <c r="S19" i="10"/>
  <c r="S18" i="10"/>
  <c r="S17" i="10"/>
  <c r="S16" i="10"/>
  <c r="M30" i="10"/>
  <c r="D14" i="9" s="1"/>
  <c r="S14" i="10"/>
  <c r="S13" i="10"/>
  <c r="S12" i="10"/>
  <c r="S11" i="10"/>
  <c r="S10" i="10"/>
  <c r="S9" i="10"/>
  <c r="R30" i="10"/>
  <c r="S8" i="10"/>
  <c r="S6" i="10"/>
  <c r="Q30" i="10"/>
  <c r="H14" i="9" s="1"/>
  <c r="T10" i="7"/>
  <c r="T11" i="7"/>
  <c r="T12" i="7"/>
  <c r="T13" i="7"/>
  <c r="P24" i="7"/>
  <c r="F13" i="9" s="1"/>
  <c r="T8" i="7"/>
  <c r="T15" i="7"/>
  <c r="T17" i="7"/>
  <c r="O29" i="8"/>
  <c r="F12" i="9" s="1"/>
  <c r="O32" i="6"/>
  <c r="F11" i="9" s="1"/>
  <c r="O26" i="4"/>
  <c r="F9" i="9" s="1"/>
  <c r="O34" i="3"/>
  <c r="O19" i="1"/>
  <c r="O26" i="2"/>
  <c r="F7" i="9" s="1"/>
  <c r="I16" i="9" l="1"/>
  <c r="F8" i="9"/>
  <c r="F6" i="9"/>
  <c r="D17" i="9"/>
  <c r="H16" i="9"/>
  <c r="D15" i="9"/>
  <c r="I14" i="9"/>
  <c r="P21" i="13"/>
  <c r="P35" i="12"/>
  <c r="S34" i="12" s="1"/>
  <c r="P32" i="11"/>
  <c r="S5" i="10"/>
  <c r="S7" i="10"/>
  <c r="S15" i="10"/>
  <c r="P30" i="10"/>
  <c r="P36" i="12" l="1"/>
  <c r="R37" i="12" s="1"/>
  <c r="S37" i="12" s="1"/>
  <c r="P22" i="13"/>
  <c r="S20" i="13"/>
  <c r="P33" i="11"/>
  <c r="S31" i="11"/>
  <c r="P31" i="10"/>
  <c r="S30" i="10" s="1"/>
  <c r="N24" i="7"/>
  <c r="D13" i="9" s="1"/>
  <c r="T20" i="7"/>
  <c r="T19" i="7"/>
  <c r="T18" i="7"/>
  <c r="T7" i="7"/>
  <c r="T6" i="7"/>
  <c r="T5" i="7"/>
  <c r="M29" i="8"/>
  <c r="S14" i="8"/>
  <c r="S13" i="8"/>
  <c r="S11" i="8"/>
  <c r="N29" i="8"/>
  <c r="E12" i="9" s="1"/>
  <c r="S10" i="8"/>
  <c r="S9" i="8"/>
  <c r="S8" i="8"/>
  <c r="S7" i="8"/>
  <c r="S6" i="8"/>
  <c r="S5" i="8"/>
  <c r="S4" i="8"/>
  <c r="D12" i="9" l="1"/>
  <c r="G17" i="9"/>
  <c r="J17" i="9" s="1"/>
  <c r="L17" i="9" s="1"/>
  <c r="R23" i="13"/>
  <c r="S23" i="13" s="1"/>
  <c r="G15" i="9"/>
  <c r="J15" i="9" s="1"/>
  <c r="L15" i="9" s="1"/>
  <c r="R34" i="11"/>
  <c r="S34" i="11" s="1"/>
  <c r="T14" i="7"/>
  <c r="G16" i="9"/>
  <c r="J16" i="9" s="1"/>
  <c r="L16" i="9" s="1"/>
  <c r="P32" i="10"/>
  <c r="T9" i="7"/>
  <c r="O24" i="7"/>
  <c r="E13" i="9" s="1"/>
  <c r="T16" i="7"/>
  <c r="T21" i="7"/>
  <c r="T22" i="7"/>
  <c r="S12" i="8"/>
  <c r="R24" i="7"/>
  <c r="H13" i="9" s="1"/>
  <c r="S24" i="7"/>
  <c r="Q24" i="7"/>
  <c r="R29" i="8"/>
  <c r="I12" i="9" s="1"/>
  <c r="Q29" i="8"/>
  <c r="H12" i="9" s="1"/>
  <c r="P29" i="8"/>
  <c r="P30" i="8" s="1"/>
  <c r="P31" i="8" s="1"/>
  <c r="G12" i="9" s="1"/>
  <c r="M32" i="6"/>
  <c r="R32" i="8" l="1"/>
  <c r="D11" i="9"/>
  <c r="G14" i="9"/>
  <c r="J14" i="9" s="1"/>
  <c r="L14" i="9" s="1"/>
  <c r="R33" i="10"/>
  <c r="S33" i="10" s="1"/>
  <c r="I13" i="9"/>
  <c r="S29" i="8"/>
  <c r="Q25" i="7"/>
  <c r="T24" i="7" s="1"/>
  <c r="J12" i="9"/>
  <c r="N32" i="6"/>
  <c r="Q32" i="6"/>
  <c r="H11" i="9" s="1"/>
  <c r="R32" i="6"/>
  <c r="I11" i="9" s="1"/>
  <c r="P32" i="6"/>
  <c r="P33" i="6" s="1"/>
  <c r="P34" i="6" s="1"/>
  <c r="G11" i="9" s="1"/>
  <c r="L12" i="9" l="1"/>
  <c r="S32" i="8"/>
  <c r="R35" i="6"/>
  <c r="Q26" i="7"/>
  <c r="S27" i="7" s="1"/>
  <c r="T27" i="7" s="1"/>
  <c r="F19" i="9"/>
  <c r="E11" i="9"/>
  <c r="J11" i="9" s="1"/>
  <c r="S32" i="6"/>
  <c r="S35" i="6" l="1"/>
  <c r="L11" i="9"/>
  <c r="G13" i="9"/>
  <c r="J13" i="9" s="1"/>
  <c r="L13" i="9" s="1"/>
  <c r="M26" i="4" l="1"/>
  <c r="D9" i="9" s="1"/>
  <c r="N26" i="4"/>
  <c r="J10" i="9" l="1"/>
  <c r="L10" i="9" s="1"/>
  <c r="E9" i="9"/>
  <c r="Q26" i="4"/>
  <c r="H9" i="9" s="1"/>
  <c r="R26" i="4"/>
  <c r="I9" i="9" s="1"/>
  <c r="P26" i="4"/>
  <c r="M34" i="3"/>
  <c r="D8" i="9" l="1"/>
  <c r="R34" i="3"/>
  <c r="I8" i="9" s="1"/>
  <c r="P27" i="4"/>
  <c r="S26" i="4" s="1"/>
  <c r="N34" i="3"/>
  <c r="Q34" i="3"/>
  <c r="P34" i="3"/>
  <c r="M26" i="2"/>
  <c r="N26" i="2"/>
  <c r="D7" i="9" l="1"/>
  <c r="P28" i="4"/>
  <c r="R29" i="4" s="1"/>
  <c r="S29" i="4" s="1"/>
  <c r="P35" i="3"/>
  <c r="S34" i="3" s="1"/>
  <c r="Q26" i="2"/>
  <c r="H7" i="9" s="1"/>
  <c r="R26" i="2"/>
  <c r="I7" i="9" s="1"/>
  <c r="E7" i="9"/>
  <c r="E8" i="9"/>
  <c r="H8" i="9"/>
  <c r="P26" i="2"/>
  <c r="M19" i="1"/>
  <c r="G9" i="9" l="1"/>
  <c r="J9" i="9" s="1"/>
  <c r="L9" i="9" s="1"/>
  <c r="P36" i="3"/>
  <c r="D6" i="9"/>
  <c r="P27" i="2"/>
  <c r="P28" i="2" s="1"/>
  <c r="R29" i="2" s="1"/>
  <c r="N19" i="1"/>
  <c r="E6" i="9" s="1"/>
  <c r="E19" i="9" s="1"/>
  <c r="Q19" i="1"/>
  <c r="H6" i="9" s="1"/>
  <c r="H19" i="9" s="1"/>
  <c r="R19" i="1"/>
  <c r="I6" i="9" s="1"/>
  <c r="I19" i="9" s="1"/>
  <c r="P19" i="1"/>
  <c r="R37" i="3" l="1"/>
  <c r="S37" i="3" s="1"/>
  <c r="S26" i="2"/>
  <c r="S29" i="2" s="1"/>
  <c r="G8" i="9"/>
  <c r="J8" i="9" s="1"/>
  <c r="L8" i="9" s="1"/>
  <c r="G7" i="9"/>
  <c r="J7" i="9" s="1"/>
  <c r="P20" i="1"/>
  <c r="S19" i="1" s="1"/>
  <c r="D19" i="9"/>
  <c r="L7" i="9" l="1"/>
  <c r="P21" i="1"/>
  <c r="R22" i="1" l="1"/>
  <c r="S22" i="1" s="1"/>
  <c r="G6" i="9"/>
  <c r="G19" i="9" s="1"/>
  <c r="I22" i="9" s="1"/>
  <c r="J6" i="9" l="1"/>
  <c r="L6" i="9" s="1"/>
  <c r="J25" i="9" l="1"/>
</calcChain>
</file>

<file path=xl/sharedStrings.xml><?xml version="1.0" encoding="utf-8"?>
<sst xmlns="http://schemas.openxmlformats.org/spreadsheetml/2006/main" count="2005" uniqueCount="1002">
  <si>
    <t>QTDE.</t>
  </si>
  <si>
    <t>NOME</t>
  </si>
  <si>
    <t>LOCAL</t>
  </si>
  <si>
    <t>PERÍODO</t>
  </si>
  <si>
    <t>VALOR PASSAGENS</t>
  </si>
  <si>
    <t>VALOR HOSPEDAGEM</t>
  </si>
  <si>
    <t>VALOR TOTAL</t>
  </si>
  <si>
    <t>TOTAL GERAL</t>
  </si>
  <si>
    <t>conferência</t>
  </si>
  <si>
    <t>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</si>
  <si>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</si>
  <si>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</si>
  <si>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</si>
  <si>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</si>
  <si>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</si>
  <si>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</si>
  <si>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</si>
  <si>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</si>
  <si>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</si>
  <si>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</si>
  <si>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</si>
  <si>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</si>
  <si>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ANO</t>
  </si>
  <si>
    <t>VALOR TOTAL MENSAL</t>
  </si>
  <si>
    <t>Conferência</t>
  </si>
  <si>
    <t xml:space="preserve">LOCOMOÇÃO  ( TÁXI ) </t>
  </si>
  <si>
    <t>REEMBOLSO</t>
  </si>
  <si>
    <t>LOCOMOÇÃO TERRESTRE</t>
  </si>
  <si>
    <t>ALIMENTAÇÃO</t>
  </si>
  <si>
    <t>OUTROS</t>
  </si>
  <si>
    <t>CONTRATO ( LICITAÇÃO )</t>
  </si>
  <si>
    <t>*</t>
  </si>
  <si>
    <t>Tx. Adm. Contrato</t>
  </si>
  <si>
    <t>CONTRATO LICITAÇÃO</t>
  </si>
  <si>
    <t>CONTRATO - LICITAÇÃO</t>
  </si>
  <si>
    <t xml:space="preserve"> LOCOMOÇÃO TERRESTRE</t>
  </si>
  <si>
    <t>SITUAÇÃO DAS DESPESAS</t>
  </si>
  <si>
    <t>EX.: PASSAGENS COMPRADAS EM UM MÊS PARA SEREM REALIZADAS EM OUTRO.</t>
  </si>
  <si>
    <t>A FIM DE GERAR ECONOMIA.</t>
  </si>
  <si>
    <r>
      <rPr>
        <b/>
        <sz val="11"/>
        <color theme="1"/>
        <rFont val="Calibri"/>
        <family val="2"/>
        <scheme val="minor"/>
      </rPr>
      <t>FECHADO</t>
    </r>
    <r>
      <rPr>
        <sz val="11"/>
        <color theme="1"/>
        <rFont val="Calibri"/>
        <family val="2"/>
        <scheme val="minor"/>
      </rPr>
      <t>: TODAS AS DESPESAS LANÇADAS.</t>
    </r>
  </si>
  <si>
    <r>
      <rPr>
        <b/>
        <sz val="11"/>
        <color theme="1"/>
        <rFont val="Calibri"/>
        <family val="2"/>
        <scheme val="minor"/>
      </rPr>
      <t>PARCIAL</t>
    </r>
    <r>
      <rPr>
        <sz val="11"/>
        <color theme="1"/>
        <rFont val="Calibri"/>
        <family val="2"/>
        <scheme val="minor"/>
      </rPr>
      <t>: FALTANDO VALORES Á SEREM LANÇADOS, DEVIDO Á FALTA DE COMPROVANTES.</t>
    </r>
  </si>
  <si>
    <t>AGUARDANDO DOCUMENTOS DE COBRANÇA</t>
  </si>
  <si>
    <t xml:space="preserve">            PLANILHA ATUALIZA EM: </t>
  </si>
  <si>
    <t>23092.209683/2018-10</t>
  </si>
  <si>
    <t>23092.209681/2018-21</t>
  </si>
  <si>
    <t>23092.209673/2018-84</t>
  </si>
  <si>
    <t>23092209674/2018-29</t>
  </si>
  <si>
    <t>23092.209676/2018-18</t>
  </si>
  <si>
    <t>23092.200236/2019-86</t>
  </si>
  <si>
    <t>23092200327/2019-11</t>
  </si>
  <si>
    <t>23092.200393/2019-91</t>
  </si>
  <si>
    <t>23092.200683/2019-35</t>
  </si>
  <si>
    <t>23092.200680/2019-00</t>
  </si>
  <si>
    <t>23092.200628/2019-45</t>
  </si>
  <si>
    <t>23092.200631/2019-69</t>
  </si>
  <si>
    <t>23092.200681/2019-46</t>
  </si>
  <si>
    <t xml:space="preserve">BSB X POA X BSB </t>
  </si>
  <si>
    <t>DJACI VIEIRA DE SOUSA</t>
  </si>
  <si>
    <t>MANUEL DOS ANJOS MARQUES TEIXEIRA</t>
  </si>
  <si>
    <t>ANDRÉ LUIZ VALENTE MAYRINK</t>
  </si>
  <si>
    <t>WASLEI JOSÉ DA SILVA</t>
  </si>
  <si>
    <t>FRANCISCO WAYNE MOREIRA</t>
  </si>
  <si>
    <t>ROSIANI DE SOUZA SILVEIRA</t>
  </si>
  <si>
    <t>POA X PRES. GETÚLIO (SC) X POA</t>
  </si>
  <si>
    <t>PAULO CESAR HUCKEMBECK NUNES</t>
  </si>
  <si>
    <t>POA X BSB X POA</t>
  </si>
  <si>
    <t>MARCO AURÉLIO DOS SANTOS ROSA</t>
  </si>
  <si>
    <t>BETINA FRIZZO PASQUOTTO BRIA</t>
  </si>
  <si>
    <t>POA X J. DE FORA X POA</t>
  </si>
  <si>
    <t>BRUNA HEVELYN FLORES BENTO</t>
  </si>
  <si>
    <t>NADINE OLIVEIRA CLAUSELL</t>
  </si>
  <si>
    <t>ELIANE TERESINHA BERBIGIER</t>
  </si>
  <si>
    <t>POA X SALVADOR X POA</t>
  </si>
  <si>
    <t>FECHADO</t>
  </si>
  <si>
    <t>23092.200801/2019-13</t>
  </si>
  <si>
    <t>23092.200793/2019-05</t>
  </si>
  <si>
    <t>23092.200748/2019-42</t>
  </si>
  <si>
    <t>23092.200741/2019-21</t>
  </si>
  <si>
    <t>23092.200837/2019-99</t>
  </si>
  <si>
    <t>23092.200840/2019-11</t>
  </si>
  <si>
    <t>23092.200800/2019-61</t>
  </si>
  <si>
    <t>23092.200757/2019-33</t>
  </si>
  <si>
    <t>23092.200761/2019-00</t>
  </si>
  <si>
    <t>23092.200799/2019-74</t>
  </si>
  <si>
    <t>23092.200777/2019-12</t>
  </si>
  <si>
    <t>23092.200912/2019-11</t>
  </si>
  <si>
    <t>23092.200844/2019-91</t>
  </si>
  <si>
    <t>23092.200913/2019-66</t>
  </si>
  <si>
    <t>23092.200845/2019-35</t>
  </si>
  <si>
    <t>23092.201030/2019-73</t>
  </si>
  <si>
    <t>23092.201168/2019-72</t>
  </si>
  <si>
    <t>23092.201169/2019-17</t>
  </si>
  <si>
    <t>23092.200722/2019-02</t>
  </si>
  <si>
    <t>23092.201313/2019-15</t>
  </si>
  <si>
    <t xml:space="preserve">BETINA FRANCO </t>
  </si>
  <si>
    <t>GIOVANI SOUZA SILVEIRA</t>
  </si>
  <si>
    <t>TONI ISMAEL  WICKERT</t>
  </si>
  <si>
    <t>JOSÉ GERALDO LOPES RAMOS</t>
  </si>
  <si>
    <t>MARIA APARECIDA RUFFO MOTTA</t>
  </si>
  <si>
    <t>JOSÉ RICARDO GUIMARÃES</t>
  </si>
  <si>
    <t>DOMINIC JOHN PAUL BARTER</t>
  </si>
  <si>
    <t>RJ X POA X RJ</t>
  </si>
  <si>
    <t>VALTER FERREIRA DA SILVA</t>
  </si>
  <si>
    <t>POA X MANAUS X POA</t>
  </si>
  <si>
    <t>RENATO FALSARELLA MARTINS MALVEZZI</t>
  </si>
  <si>
    <t>ELENITA TERESINHA CHARÃO CHAGAS</t>
  </si>
  <si>
    <t>AMALIA DE FÁTIMA LUCENA</t>
  </si>
  <si>
    <t>FRANCISCO DE ASSIS FIGUEIREDO</t>
  </si>
  <si>
    <t>BH X POA X BSB</t>
  </si>
  <si>
    <t>TÂNIA PROENÇA</t>
  </si>
  <si>
    <t>JEZIEL BASSO</t>
  </si>
  <si>
    <t>RUBENS CRISTIANO DIDONÉ DE SOUZA</t>
  </si>
  <si>
    <t>BETINA FRANCO</t>
  </si>
  <si>
    <t>LÚCIA COELHO DA COSTA NOBRE</t>
  </si>
  <si>
    <t>POA X PELOTAS X POA</t>
  </si>
  <si>
    <t>CARGO</t>
  </si>
  <si>
    <t>MOTIVO DA VIAGEM</t>
  </si>
  <si>
    <t>REUNIÃO DO CONSELHO DE ADMINISTRAÇÃO DO HCPA.</t>
  </si>
  <si>
    <t>CONSELHEIRO DO CONSELHO DE ADMINISTRAÇÃO</t>
  </si>
  <si>
    <t>CONSELHEIRO FISCAL</t>
  </si>
  <si>
    <t>REUNIÃO DO CONSELHO FISCAL DO HCPA.</t>
  </si>
  <si>
    <t>ENFERMEIRO DA INTERNAÇÃO PEDIÁTRICA II</t>
  </si>
  <si>
    <t>ACOMPANHAR DESLOCAMENTO DE PACIENTE DO PROGR. REABIL. INTESTINAL (PRICA) E PASSAR ORIENTAÇÕES DE CUIDADOS Á PROFISSIONAIS E FAMILIARES NA CIDADE.</t>
  </si>
  <si>
    <t>CHEFE DA SEÇÃO DE MECÂNICA</t>
  </si>
  <si>
    <t>MINISTRAR TREINAMENTO - Projeto AGHUse - HOSPITAL MILITAR DO EXÉRCITO - MÓDULO DE MANUTENÇÃO.</t>
  </si>
  <si>
    <t>CHEFE SEÇÃO CENTRAL DE MANUT E INF CLIENTE</t>
  </si>
  <si>
    <t>FUNCIONÁRIO FUNDAÇÃO MÉDICA RGS</t>
  </si>
  <si>
    <t>CONVÊNIO HCPA/FMSRGS-AGHUse - BNDES - VISTA HOSPITAL UNIVERSITÁRIO JUIZ DE FORA.</t>
  </si>
  <si>
    <t>DIRETORA-PRESIDENTE</t>
  </si>
  <si>
    <t>APRESENTAÇÃO AOS SUPERINTENDENTES DOS HUFs, DA NOVA DIRETORIA EXECUTIVA DA EBSERH.</t>
  </si>
  <si>
    <t>PARTICIPAR DA SOLENIDADE DE INICIO DA NOVA GESTÃO DA EBSERH.</t>
  </si>
  <si>
    <t>CHEFE DO SERV DE GERENC DAS INFORMAÇÕES SUS</t>
  </si>
  <si>
    <t>MINISTRAR TREINAMENTO - Projeto AGHUse - SESAB - MÓDULO INTERN. ADM. E EMERGÊNCIA ADM.</t>
  </si>
  <si>
    <t>ENFERMEIRO COMIS PROC ENFERMAGEM III</t>
  </si>
  <si>
    <t>MINISTRAR TREINAMENTO - PROJETO AGHUSE - HOSPITAL MILITAR DO EXÉRCITO - MÓDULO AMBULATÓRIO ADMINISTRATIVO E ASSISTENCIAL .</t>
  </si>
  <si>
    <t> CHEFE DA SEÇÃO ADM DE AMBULATÓRIO, UBS E SMO</t>
  </si>
  <si>
    <t>ANALISTA DE NEGÓCIO I</t>
  </si>
  <si>
    <t>PROFESSOR DE MEDICINA</t>
  </si>
  <si>
    <t>Participar da Reunião da Comissão Científica e Organizadora do V Congresso Abrahue.</t>
  </si>
  <si>
    <t>CHEFE DA SEÇÃO ADM DE UNID E ESPECIALID CIRÚRGICAS.</t>
  </si>
  <si>
    <t>MINISTRAR TREINAMENTO - PROJETO AGHUSE - HOSPITAL MILITAR DO EXÉRCITO - MÓDULOS CIRÚRGIAS ADM E MÉDICO.</t>
  </si>
  <si>
    <t>ASSESSOR MÉDICO DE OPERAÇÕES ASSISTENCIAIS - CIRURGIA.</t>
  </si>
  <si>
    <t>PALESTRANTE - CONVIDADO</t>
  </si>
  <si>
    <r>
      <t>EFETUAR Palestra "</t>
    </r>
    <r>
      <rPr>
        <b/>
        <sz val="8"/>
        <color rgb="FF000000"/>
        <rFont val="Arial"/>
        <family val="2"/>
      </rPr>
      <t>COMUNICAÇÃO NÃO VIOLENTA EM AMBIENTE HOSPITALAR"</t>
    </r>
    <r>
      <rPr>
        <sz val="8"/>
        <color rgb="FF000000"/>
        <rFont val="Arial"/>
        <family val="2"/>
      </rPr>
      <t>.</t>
    </r>
  </si>
  <si>
    <t>COORDENADOR DE GESTÃO DA TECNOLOGIA DA INFORMAÇÃO E COMUNICAÇÃO.</t>
  </si>
  <si>
    <t>CHEFE DO SERVIÇO DE GESTÃO DE TECNOLOGIA.</t>
  </si>
  <si>
    <t>CHEFE DO SERVIÇO ADM DE ATENÇÃO CIRÚRGICA.</t>
  </si>
  <si>
    <t>PROFESSOR DE ENFERMAGEM.</t>
  </si>
  <si>
    <t>Visita disgnóstico do Hospital Militar para implantação dos Sistema AGHUse.</t>
  </si>
  <si>
    <t>Visita diagnóstico do Hospital Militar para implantação do sistema AGHUse.</t>
  </si>
  <si>
    <t>Visita diagnóstico do Hospital militar para implantação do sistema AGHUse.</t>
  </si>
  <si>
    <t>DIRETORA-PRESIDENTE.</t>
  </si>
  <si>
    <t>Para participar de uma visita  no gabinete do vice-presidente do Brasil, Gen. Hamilton Mourão.</t>
  </si>
  <si>
    <t>CHEFE DO SV DE DIREITO ADM LICIT CONTR E CONVÊNIOS.</t>
  </si>
  <si>
    <t>MEDICO RESIDENTE III - ONCOLOGIA</t>
  </si>
  <si>
    <t>MINISTRAR TREINAMENTO - PROJETO AGHUSE - HOSPITAL MILITAR DO EXÉRCITO - MÓDULOS Sessões Terapêuticas - Quimioterapia.</t>
  </si>
  <si>
    <t>ANALISTA DE NEGÓCIO I.</t>
  </si>
  <si>
    <t>MINISTRAR TREINAMENTO - PROJETO AGHUSE - HOSPITAL MILITAR DO EXÉRCITO - MÓDULO Engenharia.</t>
  </si>
  <si>
    <t>CHEFE DE SEÇÃO SEÇÃO CENTRAL DE MANUTENÇÃO E INFORMAÇÃO AO CLIENTE.</t>
  </si>
  <si>
    <t>MINISTRAR TREINAMENTO - PROJETO AGHUSE - HOSPITAL MILITAR DO EXÉRCITO - MÓDULO manutenção (Engenharia).</t>
  </si>
  <si>
    <t>ENFERMEIRO COMIS PROC ENFERMAGEM III.</t>
  </si>
  <si>
    <t>Treinamento  Projeto AGHUse - SESAB -  Módulos da Enfermagem no Processo de  Internação Enfermagem e Emergência Enfermagem.</t>
  </si>
  <si>
    <t>ADVOGADO TRABALHISTA III.</t>
  </si>
  <si>
    <t>Realizar audiência na Justiça do Trabalho</t>
  </si>
  <si>
    <t>MOTIVO DA VIAGEM - OCULTAR</t>
  </si>
  <si>
    <t>Nº  SEI - OCULTAR</t>
  </si>
  <si>
    <r>
      <t xml:space="preserve">SIC -  </t>
    </r>
    <r>
      <rPr>
        <sz val="14"/>
        <color indexed="8"/>
        <rFont val="Arial"/>
        <family val="2"/>
      </rPr>
      <t>RESUMO DAS DESPESAS COM VIAGENS - 2019</t>
    </r>
    <r>
      <rPr>
        <b/>
        <sz val="14"/>
        <color indexed="8"/>
        <rFont val="Arial"/>
        <family val="2"/>
      </rPr>
      <t xml:space="preserve"> </t>
    </r>
  </si>
  <si>
    <r>
      <t xml:space="preserve">SIC -  </t>
    </r>
    <r>
      <rPr>
        <sz val="14"/>
        <color indexed="8"/>
        <rFont val="Arial"/>
        <family val="2"/>
      </rPr>
      <t>RELAÇÃO DE VIAGENS  - JANEIRO 2019</t>
    </r>
  </si>
  <si>
    <r>
      <t xml:space="preserve">SIC -  </t>
    </r>
    <r>
      <rPr>
        <sz val="14"/>
        <color indexed="8"/>
        <rFont val="Arial"/>
        <family val="2"/>
      </rPr>
      <t>RELAÇÃO DE VIAGENS  - FEVEREIRO 2019</t>
    </r>
    <r>
      <rPr>
        <b/>
        <sz val="14"/>
        <color indexed="8"/>
        <rFont val="Arial"/>
        <family val="2"/>
      </rPr>
      <t xml:space="preserve"> </t>
    </r>
  </si>
  <si>
    <r>
      <t xml:space="preserve">SIC -  </t>
    </r>
    <r>
      <rPr>
        <sz val="14"/>
        <color indexed="8"/>
        <rFont val="Arial"/>
        <family val="2"/>
      </rPr>
      <t>RELAÇÃO DE VIAGENS  - MARÇO 2019</t>
    </r>
    <r>
      <rPr>
        <b/>
        <sz val="14"/>
        <color indexed="8"/>
        <rFont val="Arial"/>
        <family val="2"/>
      </rPr>
      <t xml:space="preserve"> </t>
    </r>
  </si>
  <si>
    <r>
      <t xml:space="preserve">SIC -  </t>
    </r>
    <r>
      <rPr>
        <sz val="14"/>
        <color indexed="8"/>
        <rFont val="Arial"/>
        <family val="2"/>
      </rPr>
      <t>RELAÇÃO DE VIAGENS  - ABRIL 2019</t>
    </r>
    <r>
      <rPr>
        <b/>
        <sz val="14"/>
        <color indexed="8"/>
        <rFont val="Arial"/>
        <family val="2"/>
      </rPr>
      <t xml:space="preserve"> </t>
    </r>
  </si>
  <si>
    <r>
      <t xml:space="preserve">SIC -  </t>
    </r>
    <r>
      <rPr>
        <sz val="14"/>
        <color indexed="8"/>
        <rFont val="Arial"/>
        <family val="2"/>
      </rPr>
      <t>RELAÇÃO DE VIAGENS  - JUNHO 2019</t>
    </r>
  </si>
  <si>
    <r>
      <t xml:space="preserve">SIC - </t>
    </r>
    <r>
      <rPr>
        <sz val="14"/>
        <color indexed="8"/>
        <rFont val="Arial"/>
        <family val="2"/>
      </rPr>
      <t>RELAÇÃO DE VIAGENS  - JULHO 2019</t>
    </r>
    <r>
      <rPr>
        <b/>
        <sz val="14"/>
        <color indexed="8"/>
        <rFont val="Arial"/>
        <family val="2"/>
      </rPr>
      <t xml:space="preserve"> </t>
    </r>
  </si>
  <si>
    <r>
      <t xml:space="preserve">SIC -  </t>
    </r>
    <r>
      <rPr>
        <sz val="14"/>
        <color indexed="8"/>
        <rFont val="Arial"/>
        <family val="2"/>
      </rPr>
      <t>RELAÇÃO DE VIAGENS  - AGOSTO 2019</t>
    </r>
  </si>
  <si>
    <r>
      <t xml:space="preserve"> SIC - </t>
    </r>
    <r>
      <rPr>
        <sz val="14"/>
        <color indexed="8"/>
        <rFont val="Arial"/>
        <family val="2"/>
      </rPr>
      <t>RELAÇÃO DE VIAGENS  - SETEMBRO 2019</t>
    </r>
  </si>
  <si>
    <r>
      <t xml:space="preserve"> SIC - </t>
    </r>
    <r>
      <rPr>
        <sz val="14"/>
        <color indexed="8"/>
        <rFont val="Arial"/>
        <family val="2"/>
      </rPr>
      <t>RELAÇÃO DE VIAGENS  - OUTUBRO 2019</t>
    </r>
  </si>
  <si>
    <r>
      <t xml:space="preserve"> SIC - </t>
    </r>
    <r>
      <rPr>
        <sz val="14"/>
        <color indexed="8"/>
        <rFont val="Arial"/>
        <family val="2"/>
      </rPr>
      <t>RELAÇÃO DE VIAGENS  - NOVEMBRO 2019</t>
    </r>
  </si>
  <si>
    <r>
      <t xml:space="preserve"> SIC - </t>
    </r>
    <r>
      <rPr>
        <sz val="14"/>
        <color indexed="8"/>
        <rFont val="Arial"/>
        <family val="2"/>
      </rPr>
      <t>RELAÇÃO DE VIAGENS  - DEZEMBRO 2019</t>
    </r>
  </si>
  <si>
    <t>23092.201366/2019-36</t>
  </si>
  <si>
    <t>23092.201360/2019-69</t>
  </si>
  <si>
    <t>23092.201361/2019-11</t>
  </si>
  <si>
    <t>23092.201626/2019-73</t>
  </si>
  <si>
    <t>23092.201599/2019-39</t>
  </si>
  <si>
    <t>23092.201603/2019-69</t>
  </si>
  <si>
    <t>23092.201667/2019-60</t>
  </si>
  <si>
    <t>23092.200778/2019-59</t>
  </si>
  <si>
    <t>23092.200997/2019-38</t>
  </si>
  <si>
    <t>23092.201638/2019-06</t>
  </si>
  <si>
    <t>23092.201728/2019-99</t>
  </si>
  <si>
    <t>23092.201735/2019-91</t>
  </si>
  <si>
    <t>23092.202021/2019-08</t>
  </si>
  <si>
    <t>23092.201963/2019-61</t>
  </si>
  <si>
    <t>23092.202014/2019-06</t>
  </si>
  <si>
    <t>23092.201967/2019-49</t>
  </si>
  <si>
    <t>23092.202061/2019-41</t>
  </si>
  <si>
    <t>23092.202072/2019-21</t>
  </si>
  <si>
    <t>23092.202064/2019-85</t>
  </si>
  <si>
    <t>00091.202073/2019-81</t>
  </si>
  <si>
    <t>23092.202171/2019-11</t>
  </si>
  <si>
    <t>23092.202385/2019-80</t>
  </si>
  <si>
    <t>23092.202259/2019-25</t>
  </si>
  <si>
    <t>23092.202350/2019-41</t>
  </si>
  <si>
    <t>CONSELHEIRO DIRETOR</t>
  </si>
  <si>
    <t>NADINE DE OLIVEIRA CLAUSELL</t>
  </si>
  <si>
    <t>TÂNIA PINHEIRO PROENÇA</t>
  </si>
  <si>
    <t>CHEFE DO SV DE DIREITO ADM LICIT CONTR E CONVÊNIOS</t>
  </si>
  <si>
    <t>CASSIANO ARISTIMUNHA DIAS</t>
  </si>
  <si>
    <t>ADVOGADO GERAL I</t>
  </si>
  <si>
    <t>ALEX VITELMO DA SILVA GUIMARÃES</t>
  </si>
  <si>
    <t> ANALISTA ADMINISTRATIVO II</t>
  </si>
  <si>
    <t>GABRIELA REMONATTO</t>
  </si>
  <si>
    <t>FARMACÊUTICO-BIOQUÍMICO DA PATOLOGIA II</t>
  </si>
  <si>
    <t>ALINE FERNANDA DOS SANTOS BRUM</t>
  </si>
  <si>
    <t>ANALISTA COMPRADOR II</t>
  </si>
  <si>
    <t>ASSESSOR MÉDICO DE OPERAÇÕES ASSISTENCIAIS - CIRURGIA</t>
  </si>
  <si>
    <t>CHEFE DA SEÇÃO ADM DE UNID E ESPECIALID CIRÚRGICAS</t>
  </si>
  <si>
    <t>FERNANDO LUTZ</t>
  </si>
  <si>
    <t>ANALISTA DE DESENVOLVIMENTO DE TI I</t>
  </si>
  <si>
    <t>CAMILA ZIMMER  DA SILVA</t>
  </si>
  <si>
    <t>FARMACÊUTICO-BIOQ DE DISPENSAÇÃO I</t>
  </si>
  <si>
    <t>MEDICO RESIDENTE II - ONCOLOGIA</t>
  </si>
  <si>
    <t>ANALISTA ADMINISTRATIVO II</t>
  </si>
  <si>
    <t>TIAGO BERGAMANN FELINI</t>
  </si>
  <si>
    <t>ANALISTA TI I </t>
  </si>
  <si>
    <t>NADINE OLIVEIRA CALUSELL</t>
  </si>
  <si>
    <t>ROSELI FÁTIMA ARMILIATTO BORTOLUZZI</t>
  </si>
  <si>
    <t>ASSESSOR DE ASSUNTOS INSTITUCIONAIS</t>
  </si>
  <si>
    <t>JAIRO HENRIQUE GONÇALVES</t>
  </si>
  <si>
    <t>COORDENADOR JURIDICO</t>
  </si>
  <si>
    <t>NEIVA TERESINHA FINATO</t>
  </si>
  <si>
    <t>COORDENADOR  DE GESTÃO CONTÁBIL</t>
  </si>
  <si>
    <t>JORGE LUIS BAJERSKI</t>
  </si>
  <si>
    <t>DIRETOR ADMINISTRATIVO</t>
  </si>
  <si>
    <t>ANA PAULA DELIBERAL</t>
  </si>
  <si>
    <t>FARMACÊUTICO-BIOQUIMICO I</t>
  </si>
  <si>
    <t>LUANA BAPTISTA RODRIGUES PIRES</t>
  </si>
  <si>
    <t>CHEFE DO SERVIÇO DE COMPRAS</t>
  </si>
  <si>
    <t>LUCIANA CAMPOS DOS SANTOS</t>
  </si>
  <si>
    <t> CHEFE DA SEÇÃO DE GRÁFICA E DOCUMENTAÇÃO</t>
  </si>
  <si>
    <t>MARTA NASSIF PEREIRA LIMA</t>
  </si>
  <si>
    <t>CHEFE DA UNIDADE DE RADIOTERAPIA</t>
  </si>
  <si>
    <t>LUCIANO RIBEIRO</t>
  </si>
  <si>
    <t>CHEFE DO SERVIÇO DE ENGENHARIA CLÍNICA</t>
  </si>
  <si>
    <t>Reunião do Conselho Diretor.</t>
  </si>
  <si>
    <t>Reunião do Conselho Fiscal</t>
  </si>
  <si>
    <t>Reunião Do Conselho Fiscal.</t>
  </si>
  <si>
    <t>Reunião com o Secretário-Executivo Luiz Antonio Tozi.</t>
  </si>
  <si>
    <t>Audiência no Tribunal de Contas da União (TCU),</t>
  </si>
  <si>
    <r>
      <t>Ministrar Treinamento AGHUse -</t>
    </r>
    <r>
      <rPr>
        <b/>
        <sz val="8"/>
        <color indexed="8"/>
        <rFont val="Arial"/>
        <family val="2"/>
      </rPr>
      <t xml:space="preserve"> Hospital Exército</t>
    </r>
    <r>
      <rPr>
        <sz val="8"/>
        <color indexed="8"/>
        <rFont val="Arial"/>
        <family val="2"/>
      </rPr>
      <t xml:space="preserve"> - Módulo Sessões Terapêuticas - Quimioterapia</t>
    </r>
  </si>
  <si>
    <r>
      <t>Curso de Aperfeiçoamento: Immunohistochemistry, molecular pathology and histopathology for the diagnosis of infectious diseases, na modalidade presencial.</t>
    </r>
    <r>
      <rPr>
        <sz val="8"/>
        <color indexed="8"/>
        <rFont val="Arial"/>
        <family val="2"/>
      </rPr>
      <t> </t>
    </r>
  </si>
  <si>
    <t>Participação no 14º Congresso Brasileiro de Pregoeiros</t>
  </si>
  <si>
    <r>
      <t xml:space="preserve">Ministrar Treinamento AGHUse -  Módulo Internação e Emergência - Médico - </t>
    </r>
    <r>
      <rPr>
        <b/>
        <sz val="8"/>
        <color indexed="8"/>
        <rFont val="Arial"/>
        <family val="2"/>
      </rPr>
      <t>SESAB</t>
    </r>
  </si>
  <si>
    <r>
      <t xml:space="preserve">Implantação AGHUse - Hospital Militar do </t>
    </r>
    <r>
      <rPr>
        <b/>
        <sz val="8"/>
        <color indexed="8"/>
        <rFont val="Arial"/>
        <family val="2"/>
      </rPr>
      <t>Exército</t>
    </r>
    <r>
      <rPr>
        <sz val="8"/>
        <color indexed="8"/>
        <rFont val="Arial"/>
        <family val="2"/>
      </rPr>
      <t xml:space="preserve"> - Módulo Cirurgias.</t>
    </r>
  </si>
  <si>
    <r>
      <t>Apio à implantação do Módulo de Cirurgias do AGHUse no Hospital Militar do</t>
    </r>
    <r>
      <rPr>
        <b/>
        <sz val="8"/>
        <color indexed="8"/>
        <rFont val="Arial"/>
        <family val="2"/>
      </rPr>
      <t xml:space="preserve"> Exército </t>
    </r>
    <r>
      <rPr>
        <sz val="8"/>
        <color indexed="8"/>
        <rFont val="Arial"/>
        <family val="2"/>
      </rPr>
      <t>de Área de Brasília</t>
    </r>
  </si>
  <si>
    <r>
      <t>Ministrar Treinamento AGHUse - Módulo Farmácia - Cadastro de Medicamentos -</t>
    </r>
    <r>
      <rPr>
        <b/>
        <sz val="8"/>
        <color indexed="8"/>
        <rFont val="Arial"/>
        <family val="2"/>
      </rPr>
      <t xml:space="preserve"> SESAB</t>
    </r>
  </si>
  <si>
    <t>Ministrar Treinamento AGHUse - H M EXÉRCITO - Módulo Sessões Terapêuticas</t>
  </si>
  <si>
    <t>Implantação AGHUse - Módulo Sessões Terapêuticas</t>
  </si>
  <si>
    <t>Para participar de uma reunião com o Secretário de Coordenação e Governança das Empresas Estatais (SEST/SEDD/ME) .</t>
  </si>
  <si>
    <t>Reunião no Ministério da Economia - SEST.</t>
  </si>
  <si>
    <t>Trabalho de assessoria a Coordenação de Contabilidade da EBSERH.</t>
  </si>
  <si>
    <t>Reunião com o Secretário de Coordenação e Governança das Empresas Estatais. </t>
  </si>
  <si>
    <t>Ministrar Treinamento Módulo Farmácia - Projeto AGHUse - Hospital do Exército Brasília.</t>
  </si>
  <si>
    <t>Ministrar Treinamento Módulo Compras - Projeto AGHUse - Hospital do Exército Brasília.</t>
  </si>
  <si>
    <t>Ministrar Treinamento Módulo Estoque - Projeto AGHUse - Hospital do Exército Brasília.</t>
  </si>
  <si>
    <t>Reunião no Ministério da Saúde - Plano de Expansão da Radioterapia SUS  (discussão e deliberar sobre os procedimentos adequados para a prestação efetiva das manutenções preventivas e corretivas dos equipamentos que compõem a solução de radioterapia)</t>
  </si>
  <si>
    <t xml:space="preserve">BH X POA X BSB </t>
  </si>
  <si>
    <t xml:space="preserve">POA X BSB X POA </t>
  </si>
  <si>
    <t>POA X RJ X POA</t>
  </si>
  <si>
    <t>POA X FOZ DO IGUAÇU X POA</t>
  </si>
  <si>
    <t>BH X BSB X POA</t>
  </si>
  <si>
    <t>23092.202486/2019-51</t>
  </si>
  <si>
    <t>23092.202595/2019-78</t>
  </si>
  <si>
    <t>23092.202573/2019-16</t>
  </si>
  <si>
    <t>23092.202580/2019-18</t>
  </si>
  <si>
    <t>23092.202035/2019-13</t>
  </si>
  <si>
    <t>23092.202614/2019-66</t>
  </si>
  <si>
    <t>23092.202610/2019-88</t>
  </si>
  <si>
    <t>23092.202612/2019-77</t>
  </si>
  <si>
    <t>23092.202759/2019-67</t>
  </si>
  <si>
    <t>23092.202787/2019-84</t>
  </si>
  <si>
    <t>23092.202807/2019-17</t>
  </si>
  <si>
    <t>23092.202915/2019-90</t>
  </si>
  <si>
    <t>23092.202917/2019-89</t>
  </si>
  <si>
    <t>23092.202549/2019-79</t>
  </si>
  <si>
    <t>23092.202674/2019-89</t>
  </si>
  <si>
    <t>23092.202577/2019-96</t>
  </si>
  <si>
    <t>23092.202790/2019-06</t>
  </si>
  <si>
    <t>23092.202540/2019-68</t>
  </si>
  <si>
    <t>23092.203301/2019-25</t>
  </si>
  <si>
    <t>23092.203192/2019-46</t>
  </si>
  <si>
    <t>23092.203282/2019-37</t>
  </si>
  <si>
    <t>23092.203456/2019-61</t>
  </si>
  <si>
    <t>23092.202806/2019-72</t>
  </si>
  <si>
    <t>23092.203194/2019-35</t>
  </si>
  <si>
    <t>23092.203411/2019-97</t>
  </si>
  <si>
    <t>23092.203410/2019-42</t>
  </si>
  <si>
    <t>23092.203473/2019-07</t>
  </si>
  <si>
    <t>23092.203474/2019-43</t>
  </si>
  <si>
    <t>23092.203529/2019-15</t>
  </si>
  <si>
    <t>00091.203249/2019-11</t>
  </si>
  <si>
    <t>LUCIANE DOS REIS FRANCISCO</t>
  </si>
  <si>
    <t>CHEFE DO SERVIÇO ADM AUX AO DIAGNÓSTICO E TERAPIA</t>
  </si>
  <si>
    <t>LUIS EVERALDO DE VARGAS FREITAS</t>
  </si>
  <si>
    <t>CHEFE DA UNID APOIO A TECNOL DA INFORMAÇÃO</t>
  </si>
  <si>
    <t>ALEXANDRE CAIRO</t>
  </si>
  <si>
    <t>PROCURADOR GERAL DA FAZENDA NACIONAL</t>
  </si>
  <si>
    <t>FLÁVIO DE MEDEIROS HORTA</t>
  </si>
  <si>
    <t>ANALISTA DE AUDITORIA I</t>
  </si>
  <si>
    <t>SILVIA REGINA GRALHA</t>
  </si>
  <si>
    <t>COORDENADOR DE GESTÃO DA TECNOLOGIA DA INFORMAÇÃO E COMUNICAÇÃO</t>
  </si>
  <si>
    <t>CHEFE DO SERVIÇO DE GESTÃO DE TECNOLOGIA</t>
  </si>
  <si>
    <t>ALEXANDRE BACELAR</t>
  </si>
  <si>
    <t>CHEFE DO SERVIÇO DE FÍSICA MÉDICA E RADIOPROTEÇÃO</t>
  </si>
  <si>
    <t>VITOR PELEGRIM DE OLIVEIRA</t>
  </si>
  <si>
    <t xml:space="preserve">MÉDICO </t>
  </si>
  <si>
    <t>ANA PAULA COUTINHO</t>
  </si>
  <si>
    <t>ASSESSOR ADJUNTO EXECUTIVO</t>
  </si>
  <si>
    <t>GUILHERME LEAL CÂMARA</t>
  </si>
  <si>
    <t>COORDENADORIA DE GESTÃO DE AUDITORIA INTERNA</t>
  </si>
  <si>
    <t>MARCELO AUGUSTO DE SOUZA BEZERRA</t>
  </si>
  <si>
    <t>ANALISTA DE AUDITORIA</t>
  </si>
  <si>
    <t>COORDENADOR DO GRUPO DE ENSINO</t>
  </si>
  <si>
    <t>JANAINA RIBEIRO DE ALMEIDA</t>
  </si>
  <si>
    <t>HELENA AYAKO SUENO GOLDANI</t>
  </si>
  <si>
    <t>CHEFE DO SERVIÇO DE PEDIATRIA</t>
  </si>
  <si>
    <t>MARILIA ROSSO CEZA</t>
  </si>
  <si>
    <t>MÉDICO PEDIATRA DE GASTRO E HEPATOLOGIA I</t>
  </si>
  <si>
    <t>SIMONE BOETTCHER</t>
  </si>
  <si>
    <t>ENFERMEIRO DA INTERNAÇÃO PEDIÁTRICA I</t>
  </si>
  <si>
    <t>CRISTINA DOLORES DE CARVALHO AMORIM</t>
  </si>
  <si>
    <t>CONVIDADO EBSERH</t>
  </si>
  <si>
    <t>ALEXANDRE DOS SANTOS SILVA</t>
  </si>
  <si>
    <t>JOÃO BATISTA FLORENTINO</t>
  </si>
  <si>
    <t>CONVIDADO HOSP. CLÍNICAS DE SÃO PAULO</t>
  </si>
  <si>
    <t>ROSELI PEREIRA DA SILVA</t>
  </si>
  <si>
    <t>MÁRCIA ROSANE PIRES</t>
  </si>
  <si>
    <t>ENF DO CONTR INFEC HOSP III</t>
  </si>
  <si>
    <t>LISIANE MANGANELLI GIRARDI PASKULIN</t>
  </si>
  <si>
    <t>PROFESSOR DE ENFERMAGEM</t>
  </si>
  <si>
    <t>Ministrar Treinamento Treinamento AGHUse Hospital do Exército - Módulos Exames - Imagens</t>
  </si>
  <si>
    <t>ASSEMBLEIA GERAL EXTRAORDINÁRIA E ORDINÁRIA</t>
  </si>
  <si>
    <t>Participar do Seminário Nacional Fiscalização e Gerenciamento dos Contratos de Obras Públicas, que será realizado em Florianópolis - SC, em 08 e 09 de abril de 2019.</t>
  </si>
  <si>
    <t>REUNIÃO DO CONSELHO DIRETOR</t>
  </si>
  <si>
    <t>MINISTRAR TREINAMENTO - Projeto AGHUse - SESAB - MÓDULO INTERN. ADM. E ASSISTENCIAL.</t>
  </si>
  <si>
    <t>Reunião com Diretoria da EBSERH sobre o sistema AGHUse</t>
  </si>
  <si>
    <t>Participação no I Simpósio sobre Exposição Ocupacional a Radiações Ionizantes no Brasil</t>
  </si>
  <si>
    <t>HEALTH COSTS SUMMIT</t>
  </si>
  <si>
    <t>SEM ASSINATURA</t>
  </si>
  <si>
    <t>Participação no 50º FONAITec</t>
  </si>
  <si>
    <t>Representar o HCPA na Assembleia Geral Ordinária - AGO da Abrahue,</t>
  </si>
  <si>
    <t>Treinamento AGHUse - Módulos Exames </t>
  </si>
  <si>
    <t>Treinamento AGHUse - Módulo Exames Laboratoriais e Implantação AGHUse - Módulo Exames Imagens</t>
  </si>
  <si>
    <t>Participação no CIRTA/2019 - contribuirá para a capacitação da equipe assistencial,  visando melhorias no atendimentos dos pacientes com falência intestinal,  assim como também, contribuirá para a divulgação institucional  em âmbito internacional.</t>
  </si>
  <si>
    <t>Participar de reunião sobre Custos Hospitalares junto ao Grupo de Trabalho de Custos, como especialista na área visando um relato de experiência e troca de informações, no período de 29 a 30 de abril de 2019.</t>
  </si>
  <si>
    <t>Participar de reunião sobre Custos Hospitalares junto ao Grupo de Trabalho de Custos, como especialista na área visando um relato de experiência e troca de informações, na data  de 30 de abril de 2019.</t>
  </si>
  <si>
    <t>Participar do evento: Hospital Summit 2019 - ANAHP</t>
  </si>
  <si>
    <t>BSB X POA X BSB</t>
  </si>
  <si>
    <t>POA X FLORIANÓPOLIS X POA</t>
  </si>
  <si>
    <t>POA X SP X POA</t>
  </si>
  <si>
    <t>POA X PARIS X POA</t>
  </si>
  <si>
    <t>JUN/JUL</t>
  </si>
  <si>
    <t>SP X POA X SP</t>
  </si>
  <si>
    <t>PARCIAL</t>
  </si>
  <si>
    <t>23092.201368/2019-25</t>
  </si>
  <si>
    <t>23092.201363/2019-01</t>
  </si>
  <si>
    <t>23092.202079/2019-43</t>
  </si>
  <si>
    <t>23092.202400/2019-90</t>
  </si>
  <si>
    <t>23092.202891/2019-79</t>
  </si>
  <si>
    <t>23092.202628/2019-80</t>
  </si>
  <si>
    <t>ADRIANA REGINA CANDATEN</t>
  </si>
  <si>
    <t>ANALISTA DE OUVIDORIA II</t>
  </si>
  <si>
    <t>VERA MARIA BRUXEL</t>
  </si>
  <si>
    <t>ENFERMEIRA DA OUVIDORIA</t>
  </si>
  <si>
    <t>ARIANE NÁDIA BACKES</t>
  </si>
  <si>
    <t>MÉDICO CIRURGIÃO PEDIÁTRICO PLANTONISTA II</t>
  </si>
  <si>
    <t>Participação na 4ª SEMANA DE OUVIDORIA E ACESSO À INFORMAÇÃO/CGU</t>
  </si>
  <si>
    <t>Estágio em Transplante Intestinal e Multivisceral, com o objetivo de formar profissional para realização desses procedimentos no HCPA. Além da identificação de processos de trabalho e da utilização de insumos e de serviços inerentes a esses procedimento. Objetivando definir a infraestrutura , os insumos e serviços a serem disponibilizados no HCPA, para realização de transplante intestinal e transplante multivisceral no Hospital de Clínicas no período de 2019-2021.</t>
  </si>
  <si>
    <t>POA X MIAMI X POA</t>
  </si>
  <si>
    <t>Jun á Dez</t>
  </si>
  <si>
    <t>00091.204101/2019-02</t>
  </si>
  <si>
    <t>23092.203914/2019-62</t>
  </si>
  <si>
    <t>23092.204208/2019-38</t>
  </si>
  <si>
    <t>23092.203963/2019-03</t>
  </si>
  <si>
    <t>23092.204139/2019-62</t>
  </si>
  <si>
    <t>23092.204143/2019-21</t>
  </si>
  <si>
    <t>23092.204103/2019-89</t>
  </si>
  <si>
    <t>23092.204172/2019-92</t>
  </si>
  <si>
    <t>23092.204339/2019-15</t>
  </si>
  <si>
    <t>23092.203383/2019-16</t>
  </si>
  <si>
    <t>23092.204308/2019-64</t>
  </si>
  <si>
    <t>23092.204487/2019-30</t>
  </si>
  <si>
    <t>23092.204732/2019-17</t>
  </si>
  <si>
    <t>23092.204706/2019-81</t>
  </si>
  <si>
    <t>FRANCINE HEHN DE OLIVEIRA</t>
  </si>
  <si>
    <t>SIMONE DALLA POZZA MAHMUD</t>
  </si>
  <si>
    <t>PATRICE MARTINS AUGUSTO</t>
  </si>
  <si>
    <t>ALINE RODRIGUES VIEIRA</t>
  </si>
  <si>
    <t>LÚCIA CAYE</t>
  </si>
  <si>
    <t>JOSÉ RICARDO GUIMARÂES</t>
  </si>
  <si>
    <t>LUCIANE CAMILLO MAGALHÃES</t>
  </si>
  <si>
    <t>LUIZ FERNANDO BOHM</t>
  </si>
  <si>
    <t>CHEFE DE UNID DA ÁREA MÉDICA - PROFESSOR</t>
  </si>
  <si>
    <t>COORDENADORA DE SUPRIMENTOS</t>
  </si>
  <si>
    <t>CHEFE DO SERVIÇO ADM DE CLIENTES INSTITUCIONAIS</t>
  </si>
  <si>
    <t>SUPERVISOR DE FATURAMENTO CONV. E PARTICULARES</t>
  </si>
  <si>
    <t> ANALISTA DE NEGÓCIO III</t>
  </si>
  <si>
    <t>CHEFE DE SERVIÇO DE PLANEJAMENTO E SUPRIMENTOS</t>
  </si>
  <si>
    <t>PARTICIPAÇÃO HOSPITAL SUMMIT 2019</t>
  </si>
  <si>
    <t>Ministrar Treinamento AGHuse , módulo CCIH, hospital Militar área Brasilia</t>
  </si>
  <si>
    <t>Visita Técnica ao Núcleo Avançado de Geriatria do Hospital Sírio-Libanês</t>
  </si>
  <si>
    <t>Ministrar Treinamento módulo Exames - Patologia Cirúrgica.</t>
  </si>
  <si>
    <t>Participação na Feira Hospitalar 2019</t>
  </si>
  <si>
    <t>Ministrar Treinamento do Módulo de Faturamento de Convênios e Particulares - Projeto AGHUse - Exército</t>
  </si>
  <si>
    <t>Reunião do Comitê Estratégico da Comunidade AGHUse</t>
  </si>
  <si>
    <t>Participação no 2º Encontro Nacional das Estatais</t>
  </si>
  <si>
    <t>Troca de experiências globais no seminário A SUSTENTABILIDADE DO SISTEMA DE SAÚDE DO BRASIL</t>
  </si>
  <si>
    <t>Participar De Seminário de Compras Públicas Centralizadas - ENAP Brasilia</t>
  </si>
  <si>
    <t>AGHUSE - Implantação Exames Laboratoriais no HMAB</t>
  </si>
  <si>
    <r>
      <t xml:space="preserve">SIC -  </t>
    </r>
    <r>
      <rPr>
        <sz val="14"/>
        <color indexed="8"/>
        <rFont val="Arial"/>
        <family val="2"/>
      </rPr>
      <t>RELAÇÃO DE VIAGENS  - MAIO 2019</t>
    </r>
  </si>
  <si>
    <t>BH X POA X SP</t>
  </si>
  <si>
    <t>POA X CAMPINAS X POA</t>
  </si>
  <si>
    <t>23092.204598/2019-46</t>
  </si>
  <si>
    <t>23092.204622/2019-47</t>
  </si>
  <si>
    <t>23092.204596/2019-57</t>
  </si>
  <si>
    <t>23092.204412/2019-59</t>
  </si>
  <si>
    <t>23092.204668/2019-66</t>
  </si>
  <si>
    <t>23092.204411/2019-12</t>
  </si>
  <si>
    <t>Participar do 2º Encontro BB Previdência com Patrocinadores e Instituidores.</t>
  </si>
  <si>
    <t>Treinamento AGHUse - Projeto AGHUse - Módulo Assistencial Enfermagem</t>
  </si>
  <si>
    <t>Treinamento Internação Assistencial - Médico</t>
  </si>
  <si>
    <t>Ministrar Treinamento AGHuse - Unicamp</t>
  </si>
  <si>
    <t>REUNIÃO DO CONSELHO DE ADMINISTRAÇÃO e TREINAMENTO DOS CONSELHEIROS.</t>
  </si>
  <si>
    <t>23092.204912/2019-91</t>
  </si>
  <si>
    <t>23092.204718/2019-13</t>
  </si>
  <si>
    <t>23092.205012/2019-61</t>
  </si>
  <si>
    <t>23092.205112/2019-97</t>
  </si>
  <si>
    <t>23092.204958/2019-18</t>
  </si>
  <si>
    <t>23092.205096/2019-32</t>
  </si>
  <si>
    <t>23092.205094/2019-43</t>
  </si>
  <si>
    <t>23092.205125/2019-66</t>
  </si>
  <si>
    <t>23092.205102/2019-51</t>
  </si>
  <si>
    <t>23092.205169/2019-96</t>
  </si>
  <si>
    <t>23092.204800/2019-30</t>
  </si>
  <si>
    <t>23092.205204/2019-77</t>
  </si>
  <si>
    <t>23092.205276/2019-14</t>
  </si>
  <si>
    <t>23092.205182/2019-45</t>
  </si>
  <si>
    <t>23092.205097/2019-87</t>
  </si>
  <si>
    <t>23092.204557/2019-50</t>
  </si>
  <si>
    <t>CONSELHEIRO DE ADMINISTRAÇÃO</t>
  </si>
  <si>
    <t>CESAR LUIZ BOGUSZEWSKI</t>
  </si>
  <si>
    <t>PALESTRANTE CONVIDADO</t>
  </si>
  <si>
    <t>ARIOSTO ANTUNES CULAU</t>
  </si>
  <si>
    <t>CHEFE DO SERVIÇO DE DIREITO ADMINISTRATIVO, LICITAÇÕES CONTRATOS E CONVÊNIOS</t>
  </si>
  <si>
    <t>ADVOGADO</t>
  </si>
  <si>
    <t>DIRETORA - PRESIDENTE</t>
  </si>
  <si>
    <t>COORDENADOR JURÍDICO</t>
  </si>
  <si>
    <t>LIGIA VENTURA</t>
  </si>
  <si>
    <t>COORDENADORA GESTÃO DE PESSOAS</t>
  </si>
  <si>
    <t>JAIR MARCELO CORDEIRO DOS SANTOS</t>
  </si>
  <si>
    <t>CHEFE DO SERVIÇO ADMINISTR DE PESSOAL</t>
  </si>
  <si>
    <t>PETER TSCHEDANTZEW NETO</t>
  </si>
  <si>
    <t>TATIANA PRADE HEMESATH</t>
  </si>
  <si>
    <t>PSICÓLOGO HOSPITALAR CLÍNICO PEDIÁTRICO II</t>
  </si>
  <si>
    <t>TIAGO BERGMANN FELINI</t>
  </si>
  <si>
    <t>ANALISTA DE TI I</t>
  </si>
  <si>
    <t>COORD DE GESTÃO TECNOL INFORMAÇÃO</t>
  </si>
  <si>
    <t>CAMILA ZIMMER DA SILVA</t>
  </si>
  <si>
    <t>MAURICIO LESER CASELLA</t>
  </si>
  <si>
    <t>SUPERVISOR DE PATRIMONIO</t>
  </si>
  <si>
    <t>REUNIÃO DO CONSELHO DE ADMINISTRAÇÃO</t>
  </si>
  <si>
    <t>Participar do Grand Round - Uso e abuso de GH da Criança e do Idoso.</t>
  </si>
  <si>
    <t>REUNIAO COM PARTES E REPRESENTANTES DO PROCESSO 15.2017.4.03.6100 9ª VF DE SÃO PAULO</t>
  </si>
  <si>
    <t>Reunião no Ministério do Planejamento</t>
  </si>
  <si>
    <t>Reunião no Ministério do Planejamento para assuntos de folha de pagamento</t>
  </si>
  <si>
    <t>Treinamento AGHUse - Módulo Exames e Implantação AGHUse - Módulo Patologia Cirúrgica</t>
  </si>
  <si>
    <t>PARTICIPAR DO CURSO BAYLEY III</t>
  </si>
  <si>
    <t>Implantação módulo CCIH AGHuse</t>
  </si>
  <si>
    <t>Reunião com a Empresa Capgemini Brasil S/A e participação no IT Fórum+.</t>
  </si>
  <si>
    <t>Treinamento AGHUse UNICAMP - Casdastro de Medicamentos (módulo farmácia)</t>
  </si>
  <si>
    <t>Participação no 8º Simpósio do SIADS</t>
  </si>
  <si>
    <t>CURITIBA X POA X CURITIBA</t>
  </si>
  <si>
    <t>CPF</t>
  </si>
  <si>
    <t>635.796.001-25</t>
  </si>
  <si>
    <t>758.088.386-49</t>
  </si>
  <si>
    <t>349.600.310-34</t>
  </si>
  <si>
    <t>383.523.620-20</t>
  </si>
  <si>
    <t>290.575.407-97</t>
  </si>
  <si>
    <t>782.918.791-68</t>
  </si>
  <si>
    <t>896.939.811-20</t>
  </si>
  <si>
    <t>457.259.770-72</t>
  </si>
  <si>
    <t>617.337.410-20</t>
  </si>
  <si>
    <t>253.571.070-68</t>
  </si>
  <si>
    <t>004.042.270-40</t>
  </si>
  <si>
    <t>011.670.750-05</t>
  </si>
  <si>
    <t>283.851.280-34</t>
  </si>
  <si>
    <t>180.779.998-08</t>
  </si>
  <si>
    <t>150.410.628-89</t>
  </si>
  <si>
    <t>260.898.400-25</t>
  </si>
  <si>
    <t>936.677.280-34</t>
  </si>
  <si>
    <t>213.142.090-00</t>
  </si>
  <si>
    <t>378.873.780-87</t>
  </si>
  <si>
    <t>943.017.000-72</t>
  </si>
  <si>
    <t>994.758.120-91</t>
  </si>
  <si>
    <t>254.083.560-00</t>
  </si>
  <si>
    <t>057.341.307-02</t>
  </si>
  <si>
    <t>018.392.480-09</t>
  </si>
  <si>
    <t>392.795.370-91</t>
  </si>
  <si>
    <t>471.802.500-15</t>
  </si>
  <si>
    <t>021.023.780-55</t>
  </si>
  <si>
    <t>958.594.620-34</t>
  </si>
  <si>
    <t>014.940.160-44</t>
  </si>
  <si>
    <t>928.881.510-49</t>
  </si>
  <si>
    <t>026.754.910-55</t>
  </si>
  <si>
    <t>GUSTAVO CARTAXO DE LIMA GOSSLING</t>
  </si>
  <si>
    <t>810.151.510-00</t>
  </si>
  <si>
    <t>556.067.840-68</t>
  </si>
  <si>
    <t>170.997.570-91</t>
  </si>
  <si>
    <t>474.686.370-91</t>
  </si>
  <si>
    <t>417.433.770-53</t>
  </si>
  <si>
    <t>778.550.600-06</t>
  </si>
  <si>
    <t>897.368.930-49</t>
  </si>
  <si>
    <t>986.327.520-49</t>
  </si>
  <si>
    <t>008.571.090-30</t>
  </si>
  <si>
    <t>005.634.590-93</t>
  </si>
  <si>
    <t>992.272.660-20</t>
  </si>
  <si>
    <t>906.115.600-97</t>
  </si>
  <si>
    <t>719.574.300-44</t>
  </si>
  <si>
    <t>804.209.150-87</t>
  </si>
  <si>
    <t>593.824.220-72</t>
  </si>
  <si>
    <t>431.895.800-06</t>
  </si>
  <si>
    <t>847.250.957-53</t>
  </si>
  <si>
    <t>496.432.230-00</t>
  </si>
  <si>
    <t>944.192.300-10</t>
  </si>
  <si>
    <t>449.052.890-68</t>
  </si>
  <si>
    <t>001.546.196-39</t>
  </si>
  <si>
    <t>389.776.721-04</t>
  </si>
  <si>
    <t>079.088.378-32</t>
  </si>
  <si>
    <t>143.044.278-65</t>
  </si>
  <si>
    <t>491.335.350-00</t>
  </si>
  <si>
    <t>979.648.830-20</t>
  </si>
  <si>
    <t>883.628.410-87</t>
  </si>
  <si>
    <t>656.629.890-87</t>
  </si>
  <si>
    <t>000.238.070-67</t>
  </si>
  <si>
    <t>335.209.330-04</t>
  </si>
  <si>
    <t>986.421.620-15</t>
  </si>
  <si>
    <t>383.220.210-20</t>
  </si>
  <si>
    <t>460.170.030-20</t>
  </si>
  <si>
    <t>350.660.320-53</t>
  </si>
  <si>
    <t>984.642.210-53</t>
  </si>
  <si>
    <t>108.981.788-60</t>
  </si>
  <si>
    <t>045.988.369-03</t>
  </si>
  <si>
    <t>007.774.910-36</t>
  </si>
  <si>
    <t>809.067.610-34</t>
  </si>
  <si>
    <t>595.854.470-53</t>
  </si>
  <si>
    <t>980.848.950-87</t>
  </si>
  <si>
    <t>972.778.350-34</t>
  </si>
  <si>
    <t>453.762.800-63</t>
  </si>
  <si>
    <t>954.986.560-68</t>
  </si>
  <si>
    <t>23092.205131/2019-13</t>
  </si>
  <si>
    <t>23092.205374/2019-51</t>
  </si>
  <si>
    <t>23092.205442/2019-82</t>
  </si>
  <si>
    <t>23092.205433/2019-91</t>
  </si>
  <si>
    <t>PAULO RENATO COLPO MARCHESAN</t>
  </si>
  <si>
    <t>LEILA BELTRAMI MOREIRA</t>
  </si>
  <si>
    <t>LUIS FERNANDO DA ROSA RIVERO</t>
  </si>
  <si>
    <t>MAURO ALMEIDA DE BARROS</t>
  </si>
  <si>
    <t>722.663.509-78</t>
  </si>
  <si>
    <t>579.835.000-25</t>
  </si>
  <si>
    <t>210.418.490-87</t>
  </si>
  <si>
    <t>385.993.250-00</t>
  </si>
  <si>
    <t>938.636.750-53</t>
  </si>
  <si>
    <t>891.400.520-87</t>
  </si>
  <si>
    <t>940.143.100-00</t>
  </si>
  <si>
    <t>596668947 - Passaporte USA</t>
  </si>
  <si>
    <t>221.840.070-72</t>
  </si>
  <si>
    <t>553.719.810-04</t>
  </si>
  <si>
    <t>615.608.040-68</t>
  </si>
  <si>
    <r>
      <t>ANALISTA DE NEGÓCIO I</t>
    </r>
    <r>
      <rPr>
        <sz val="8"/>
        <color indexed="10"/>
        <rFont val="Arial"/>
        <family val="2"/>
      </rPr>
      <t xml:space="preserve"> (cancelada)</t>
    </r>
  </si>
  <si>
    <r>
      <t xml:space="preserve">Professor - Chefe de Unidade  </t>
    </r>
    <r>
      <rPr>
        <sz val="8"/>
        <color indexed="10"/>
        <rFont val="Arial"/>
        <family val="2"/>
      </rPr>
      <t>(cancelada)</t>
    </r>
  </si>
  <si>
    <t>CHEFE DO SERVIÇO DE PATOLOGIA</t>
  </si>
  <si>
    <t>ADVOGADO II</t>
  </si>
  <si>
    <t> Projeto AGHUse - Exército Brasileiro</t>
  </si>
  <si>
    <t>Implantação do sistema AGHUse, módulo CCIH no HMAB (Hospital Militar de Área Urbana). Como consultor técnico da área de TI</t>
  </si>
  <si>
    <t>Palestrar no evento Liderando a Transformação da Cultura</t>
  </si>
  <si>
    <t>Representar a Instituição como Coordenadora do Curso de Mestrado Profissional em Pesquisa Clínica, no Seminário de Meio Termo dos programas de pós-graduação da área de Medicina I, será realizado na CAPES</t>
  </si>
  <si>
    <t>Audiência na 6ª Vara Cível Especializada em Fazenda Pública - Poder Judiciário. </t>
  </si>
  <si>
    <t>Audiência judicial processo 90060546820188210022, de interesse do HCPA</t>
  </si>
  <si>
    <t>MIAMI X POA X MIAMI</t>
  </si>
  <si>
    <t>23092.205648/2019-11</t>
  </si>
  <si>
    <t>23092.205650/2019-81</t>
  </si>
  <si>
    <t>23092.205638/2019-77</t>
  </si>
  <si>
    <t>23092.205634/2019-99</t>
  </si>
  <si>
    <t>23092.205637/2019-22</t>
  </si>
  <si>
    <t>23092.205660/2019-17</t>
  </si>
  <si>
    <t>23092.205681/2019-32</t>
  </si>
  <si>
    <t>23092.205701/2019-75</t>
  </si>
  <si>
    <t>23092.205692/2019-12</t>
  </si>
  <si>
    <t>23092.205700/2019-21</t>
  </si>
  <si>
    <t>23092.205703/2019-64</t>
  </si>
  <si>
    <t>23092.205887/2019-62</t>
  </si>
  <si>
    <t>23092.205875/2019-38</t>
  </si>
  <si>
    <t>23092.205949/2019-36</t>
  </si>
  <si>
    <t>23092.205931/2019-34</t>
  </si>
  <si>
    <t>23092.205930/2019-90</t>
  </si>
  <si>
    <t>23092.206090/2019-82</t>
  </si>
  <si>
    <t>23092.206088/2019-11</t>
  </si>
  <si>
    <t>23092.206094/2019-61</t>
  </si>
  <si>
    <t>23092.205144/2019-92</t>
  </si>
  <si>
    <t>23092.206166/2019-70</t>
  </si>
  <si>
    <t>23092.206138/2019-52</t>
  </si>
  <si>
    <t>23092.206267/2019-41</t>
  </si>
  <si>
    <t>176.245.251-00</t>
  </si>
  <si>
    <t>814.445.670-04</t>
  </si>
  <si>
    <t>475.641.306-44</t>
  </si>
  <si>
    <t>006.455.730-86</t>
  </si>
  <si>
    <t>811.006.980-00</t>
  </si>
  <si>
    <t>022.544.530-17</t>
  </si>
  <si>
    <t>003.889.020-86</t>
  </si>
  <si>
    <t>031.539.600-89</t>
  </si>
  <si>
    <t>028.276.080-65</t>
  </si>
  <si>
    <t>007.960.080-86</t>
  </si>
  <si>
    <t>HH597880 - PASSAPORTE CANADÁ</t>
  </si>
  <si>
    <t>998.749.620-20</t>
  </si>
  <si>
    <t>670.077.910-34</t>
  </si>
  <si>
    <t>139.309.070-20</t>
  </si>
  <si>
    <t>755.230.600-97</t>
  </si>
  <si>
    <t>BEATRIZ FATIMA PEREIRA GUARAGNA.</t>
  </si>
  <si>
    <t>ANA PAULA WUNDER.</t>
  </si>
  <si>
    <t>IEDA MARIA NASCIMENTO.</t>
  </si>
  <si>
    <t>FLAVIA CASTRO DE MELLO</t>
  </si>
  <si>
    <t>FABIANA SOUZA OLAVES</t>
  </si>
  <si>
    <t>MARCELO ROSSONI DA ROCHA</t>
  </si>
  <si>
    <t>JULIA PAIM  DA LUZ</t>
  </si>
  <si>
    <t>LUANA DA SILVEIRA GROSS</t>
  </si>
  <si>
    <t>LETÍCIA SCHWANCK FARA MARCHI</t>
  </si>
  <si>
    <t>DAIANE NICOLI SILVELLO DOS SANTOS FERRIERA</t>
  </si>
  <si>
    <t>THOMAS BROWN</t>
  </si>
  <si>
    <t>DANIEL FASOLO</t>
  </si>
  <si>
    <t>CARLA DALBOSCO</t>
  </si>
  <si>
    <t>PAULO DA CUNHA SERPA</t>
  </si>
  <si>
    <t>ANDRÉ MENA ÁVILA</t>
  </si>
  <si>
    <t>LÚCIA COELHO COSTA NOBRE</t>
  </si>
  <si>
    <t>CHEFE DA UNID DE QUIMIO, RADIOT E HOSPITAL DIA.</t>
  </si>
  <si>
    <t>ENFERMEIRO DA QUIMIOTERAPIA II.</t>
  </si>
  <si>
    <t>ASSISTENTE SOCIAL II.</t>
  </si>
  <si>
    <t>ARQUITETO I</t>
  </si>
  <si>
    <t>CHEFE DA SEÇÃO ADM DE UNID E ESPEC ONCOLÓGICAS.</t>
  </si>
  <si>
    <t>Pesquisadora</t>
  </si>
  <si>
    <r>
      <t>ANALISTA DE NEGÓCIO I</t>
    </r>
    <r>
      <rPr>
        <sz val="8"/>
        <color indexed="10"/>
        <rFont val="Arial"/>
        <family val="2"/>
      </rPr>
      <t xml:space="preserve"> </t>
    </r>
  </si>
  <si>
    <t> CHEFE DA SEÇÃO CENTRAL MISTURAS INTRAV.</t>
  </si>
  <si>
    <t>ASSESSOR</t>
  </si>
  <si>
    <t>COORDENADOR FINANCEIRO</t>
  </si>
  <si>
    <t>CHEFE DO SERVIÇO DE SUSTENTAÇÃO E RELACIONAMENTO</t>
  </si>
  <si>
    <t>ADVOGADA</t>
  </si>
  <si>
    <t>BOLSISTA</t>
  </si>
  <si>
    <t>CONSULTOR</t>
  </si>
  <si>
    <t>PROFESSOR CHEFE-UNIDADE</t>
  </si>
  <si>
    <t>Visita de benchmarking aos  hospitais ICESP e AC Camargo</t>
  </si>
  <si>
    <t>Visita aos hospitais Instituto do Câncer do Estado de São Paulo (ICESP) e AC Camargo para benchmarking.</t>
  </si>
  <si>
    <t>Viagem a serviço para conhecer as áreas de oncologia dos Hospitais ICESP e AC Camargo em São Paulo, com o objetivo de trazer informações para o Projeto do Centro Integrado de Oncologia do 4o pavimento do Bloco C (Anexo II).</t>
  </si>
  <si>
    <t>Visita de Benchmarking aos hospitais ICESP e A.C Camargo</t>
  </si>
  <si>
    <t>participação no XIII Congresso Brasileiro de Medicina de Tráfego II Congresso Brasileiro de Psicologia de Tráfego  - Projeto SENAD - TED 05/18 Simulador de Trânsito</t>
  </si>
  <si>
    <t>Desempenhará consultoria para as atividades do Laboratório de Simulação do Trânsito (treinamento da equipe, desenvolvimento de protocolos e análise de dados) </t>
  </si>
  <si>
    <t>Viagem de benchmarking aos hospitais AC Camargo e ICESP</t>
  </si>
  <si>
    <t>Ministrar Treinamento AGHUse - Módulos Faturamento Internação</t>
  </si>
  <si>
    <t>Representar a instituição como coordenadora adjunta do Mestrado Profissional em Saúde Mental e Transtornos Aditivos no Seminário de Meio Termo da CAPES/MEC</t>
  </si>
  <si>
    <t>Reunião com a Profª MARIA FERNANDA NOGUEIRA BITTENCOURT - Secretária Executiva Adjunta do Ministério da Educação</t>
  </si>
  <si>
    <t>Evento Agile Trends GOV Teams/Management</t>
  </si>
  <si>
    <t>Reunião com o Procurador-Geral da União na PGU</t>
  </si>
  <si>
    <t>Reunião com a Coordenação de Política de Pessoal de Estatais da Secretaria de Coordenação e Governança das Empresas Estatais (SEST), sobre o cumprimento de legislação de gestantes e lactantes em atividades insalubres.</t>
  </si>
  <si>
    <t>Julgamento no Tribunal Superior do Trabalho</t>
  </si>
  <si>
    <t>Montreal x POA x Montreal</t>
  </si>
  <si>
    <t>set/out-19</t>
  </si>
  <si>
    <t>Jul/Ago</t>
  </si>
  <si>
    <t>23092.206686/2019-82</t>
  </si>
  <si>
    <t>23092.206733/2019-98</t>
  </si>
  <si>
    <t>23092.206734/2019-32</t>
  </si>
  <si>
    <t>23092.206736/2019-21</t>
  </si>
  <si>
    <t>23092.206713/2019-17</t>
  </si>
  <si>
    <t>23092.206865/2019-10</t>
  </si>
  <si>
    <t>23092.206083/2019-81</t>
  </si>
  <si>
    <t>23092.207048/2019-89</t>
  </si>
  <si>
    <t>23092.207063/2019-27</t>
  </si>
  <si>
    <t>23092.206993/2019-63</t>
  </si>
  <si>
    <t>23092.207356/2019-12</t>
  </si>
  <si>
    <t>23092.207204/2019-10</t>
  </si>
  <si>
    <t>23092.207360/2019-72</t>
  </si>
  <si>
    <t>HELOISA GALVÃO DO AMARAL CAMPOS</t>
  </si>
  <si>
    <t>ADRIANA VIGNOLI</t>
  </si>
  <si>
    <t>CAROLINE ZIANI DALLA POZZA</t>
  </si>
  <si>
    <t>085.851.758-26</t>
  </si>
  <si>
    <t>608.538.240-53</t>
  </si>
  <si>
    <t>PALESTRANTE CONVIDADA</t>
  </si>
  <si>
    <t>CONSELHEIRO DO CONSELHEIRO DE ADMINISTRAÇÃO</t>
  </si>
  <si>
    <t>COORDENADORA DE GESTÃO FINANCEIRA</t>
  </si>
  <si>
    <t>ANALISTA DE AUDITORIA II</t>
  </si>
  <si>
    <t>MÉDICO RESIDENTE III</t>
  </si>
  <si>
    <t> CHEFE DA SEÇÃO DE IDENTIFICAÇÃO</t>
  </si>
  <si>
    <t>COORDENADOR DE GESTÃO TECNOL INFORMAÇÃO</t>
  </si>
  <si>
    <t>Participar do Grand Round</t>
  </si>
  <si>
    <t>Reunião Do Conselho da Administração</t>
  </si>
  <si>
    <t>PARTICIPAÇÃO NO 65º CURSO DE ADMINISTRAÇÃO ORÇAMENTÁRIA E FINANCEIRA</t>
  </si>
  <si>
    <t>4ª Certificação do Indicador de Governança IG-SEST</t>
  </si>
  <si>
    <t>Participação no 8º SEBROP - Seminário Brasileiro de Obras Públicas </t>
  </si>
  <si>
    <t>Ministrar Treinamento AGHUse - Módulo Sessões Terapêuticas - Quimioterapia</t>
  </si>
  <si>
    <t>Mnistrar Treinamento módulo Sessões Terapêuticas - AGHUse</t>
  </si>
  <si>
    <t>Representar a instituição como membro da Comissão de Avaliação Quadrienal 2017/2020 - Medicina III, no Seminário de Meio Termo da CAPES.</t>
  </si>
  <si>
    <t>Reunião com o advogado do Consórcio Tratenge Engeform, Dr. Arthur Guedes, responsável pela obra dos anexos I e II</t>
  </si>
  <si>
    <t>Ministrar Treinamento AGHUse do módulo Registro de Colaboradores</t>
  </si>
  <si>
    <t>Representar o HCPA no "Fórum EBSERH - RNP - evolução e desafios da Saúde Digital",  apresentando o painel “Tradição e inovação na informatização de Hospital de Grande Porte”.</t>
  </si>
  <si>
    <t>23092.207616/2019-41</t>
  </si>
  <si>
    <t>23092.207849/2019-44</t>
  </si>
  <si>
    <t>23092.207852/2019-68</t>
  </si>
  <si>
    <t>23092.207850/2019-79</t>
  </si>
  <si>
    <t>23092.207858/2019-35</t>
  </si>
  <si>
    <t>TATIANA SEEFELD</t>
  </si>
  <si>
    <t>TATIANA COSER NORMANN</t>
  </si>
  <si>
    <t>030.782.909-05</t>
  </si>
  <si>
    <t>CHEFE DO SERVIÇO ADMINISTRATIVO DE ATENÇÃO CLÍNICA</t>
  </si>
  <si>
    <t>ADVOGADO (GERAL) I</t>
  </si>
  <si>
    <t>933.285.910-87</t>
  </si>
  <si>
    <t>010.817.190-60</t>
  </si>
  <si>
    <t>PESQUISADORA</t>
  </si>
  <si>
    <t>Ministrar Treinamento dos Módulos:  Registro de Colaborador, Pacientes e Internação Administrativo para o HMAM.</t>
  </si>
  <si>
    <t>Reunião de Serviço com advogados e representantes  da empresa CONCREMAT.</t>
  </si>
  <si>
    <t>Utilizar Prêmio Ganho em Semana Científica ( Passagens ), para Participar no 15º Congresso Brasileiro de Pneumologia Pediátrica em Maceió.</t>
  </si>
  <si>
    <t>POA X SP XPOA</t>
  </si>
  <si>
    <t>POA X MACEIÓ X FLORIANÓPOLIS</t>
  </si>
  <si>
    <t>23092.207736/2019-49</t>
  </si>
  <si>
    <t>23092.207717/2019-12</t>
  </si>
  <si>
    <t>23092.207804/2019-70</t>
  </si>
  <si>
    <t>23092.207645/2019-11</t>
  </si>
  <si>
    <t>23092.207680/2019-22</t>
  </si>
  <si>
    <t>23092.207666/2019-29</t>
  </si>
  <si>
    <t>23092.208074/2019-24</t>
  </si>
  <si>
    <t>23092.208088/2019-48</t>
  </si>
  <si>
    <t>23092.208740/2019-24</t>
  </si>
  <si>
    <t>23092.207436/2019-60</t>
  </si>
  <si>
    <t>23092.208076/2019-13</t>
  </si>
  <si>
    <t>23092.208224/2019-08</t>
  </si>
  <si>
    <t>23092.208075/2019-79</t>
  </si>
  <si>
    <t>23092.208073/2019-80</t>
  </si>
  <si>
    <t>23092.208207/2019-62</t>
  </si>
  <si>
    <t>23092.208206/2019-18</t>
  </si>
  <si>
    <t>23092.208205/2019-73</t>
  </si>
  <si>
    <t>23092.208143/2019-08</t>
  </si>
  <si>
    <t>23092.208321/2019-92</t>
  </si>
  <si>
    <t>23092.207905/2019-41</t>
  </si>
  <si>
    <t>23092.208568/2019-17</t>
  </si>
  <si>
    <t>23092.208563/2019-86</t>
  </si>
  <si>
    <t>23092.208565/2019-75</t>
  </si>
  <si>
    <t>CHEFE DA SEÇÃO DE GRÁFICA E DOCUMENTAÇÃO</t>
  </si>
  <si>
    <t xml:space="preserve"> CHEFE DA SEÇÃO ADMINISTRATIVA DE CTI</t>
  </si>
  <si>
    <t>FARMACÊUTICO-BIOQ DE DISPENSAÇÃO II</t>
  </si>
  <si>
    <t>CRISTIANE LETTIERI</t>
  </si>
  <si>
    <t>725.934.150-53</t>
  </si>
  <si>
    <t xml:space="preserve"> ANALISTA DE PLANEJAMENTO DE SUPRIMENTOS I</t>
  </si>
  <si>
    <t>COORD DE GESTÃO AUDITORIA INTERNA</t>
  </si>
  <si>
    <t>GUSTAVO SALOMÃO PINTO</t>
  </si>
  <si>
    <t>011.125.660-74</t>
  </si>
  <si>
    <t>GABRIELA SPIES LENZ</t>
  </si>
  <si>
    <t>029.623.450-85</t>
  </si>
  <si>
    <t>PALESTRANTE</t>
  </si>
  <si>
    <t>FLAVIANE PEREIRA MARTINS</t>
  </si>
  <si>
    <t>245.483.898-22</t>
  </si>
  <si>
    <t>MÉDICO (CONVIDADO )</t>
  </si>
  <si>
    <t>ANDREA MUNIZ DE OLIVEIRA ALVEZ</t>
  </si>
  <si>
    <t>641.917.459-72</t>
  </si>
  <si>
    <t>ENFERMEIRA (CONVIDADO )</t>
  </si>
  <si>
    <t>THALITA DA ROCHA MARANDOLA</t>
  </si>
  <si>
    <t>067.041.979-66</t>
  </si>
  <si>
    <t>CAMILA RAVAGNANI RODRIGUES BUENO</t>
  </si>
  <si>
    <t>072.764.099-29</t>
  </si>
  <si>
    <t>ANDREA CAROLINE BOSZCZOWSKI</t>
  </si>
  <si>
    <t>004.079.299-40</t>
  </si>
  <si>
    <t>Ministrar Treinamento AGHUse - Módulo Compras</t>
  </si>
  <si>
    <t>Ministrar Treinamento AGHUse - Módulo Estoque</t>
  </si>
  <si>
    <t>Ministrar Treinamento AGHUse - Módulo Farmácia</t>
  </si>
  <si>
    <t>Ministrar Treinamento AGHUse - Módulo Ambulatório Administrativo</t>
  </si>
  <si>
    <t>Ministrar Treinamento AGHUse - Módulo Ambulatório e Internação Assistencial Médico.</t>
  </si>
  <si>
    <t>Ministrar Treinamento AGHUse -Módulo Ambulatório e Internação Assistencial Enfermagem.</t>
  </si>
  <si>
    <t>Ministrar Treinamento AGHUse -Módulo Estoque.</t>
  </si>
  <si>
    <t>Ministrar Treinamento AGHUse -Módulo Farmácia.</t>
  </si>
  <si>
    <t>Ministrar Treinamento AGHUse -Módulo Compras.</t>
  </si>
  <si>
    <t>Participação no Seminário de Auditoria Baseada em Riscos.</t>
  </si>
  <si>
    <r>
      <t>Participar evento </t>
    </r>
    <r>
      <rPr>
        <b/>
        <sz val="8"/>
        <color indexed="8"/>
        <rFont val="Arial"/>
        <family val="2"/>
      </rPr>
      <t>AACR - American Association for Cancer Research</t>
    </r>
    <r>
      <rPr>
        <sz val="8"/>
        <color indexed="8"/>
        <rFont val="Arial"/>
        <family val="2"/>
      </rPr>
      <t>, como Palestrante.</t>
    </r>
  </si>
  <si>
    <t>Participar da capacitação para prescrição e cuidados especiais de crianças em nutrição parenteral para continuidade do tratamento em domicílio da paciente GEOVANA CHIQUETTI HRESCAK - Prontuário 15758766, integrante do Programa de Reabilitação Intestinal de Crianças e Adolescentes - PRICA,</t>
  </si>
  <si>
    <t>Participar do encontro onde será discutida a nova proposta de avaliação dos mestrados profissionais, pela CAPES.</t>
  </si>
  <si>
    <t>Reunião no TCU, juntamente com os advogados do HCPA, para defesa do Edital N.º 0395/2019.</t>
  </si>
  <si>
    <t>Reunião agendada no Tribunal de Contas da União (TCU) e no Ministério da Saúde.</t>
  </si>
  <si>
    <t>POAXBOSTONXPENSYLVXPOA</t>
  </si>
  <si>
    <t>CAMBÉ(PR) X POA X CAMBÉ(PR)</t>
  </si>
  <si>
    <t>Set/Out.</t>
  </si>
  <si>
    <t>Out/Nov</t>
  </si>
  <si>
    <t>23092.208729/2019-64</t>
  </si>
  <si>
    <t>23092.207239/2019-41</t>
  </si>
  <si>
    <t>23092.208876/2019-34</t>
  </si>
  <si>
    <t>23092.208905/2019-68</t>
  </si>
  <si>
    <t>23092.209104/2019-10</t>
  </si>
  <si>
    <t>23092.208776/2019-16</t>
  </si>
  <si>
    <t>23092.209442/2019-51</t>
  </si>
  <si>
    <t>23092.209534/2019-31</t>
  </si>
  <si>
    <t>23092.209391/2019-68</t>
  </si>
  <si>
    <t>23092.209508/2019-11</t>
  </si>
  <si>
    <t>23092.209333/2019-34</t>
  </si>
  <si>
    <t>23092.209000/2019-13</t>
  </si>
  <si>
    <t>23092.209188/2019-91</t>
  </si>
  <si>
    <t>23092.209175/2019-12</t>
  </si>
  <si>
    <t>23092.209275/2019-49</t>
  </si>
  <si>
    <t>23092.209189/2019-36</t>
  </si>
  <si>
    <t>23092.209463/2019-77</t>
  </si>
  <si>
    <t>23092.209402/2019-18</t>
  </si>
  <si>
    <t>23092.209514/2019-61</t>
  </si>
  <si>
    <t>23092.210126/2019-22</t>
  </si>
  <si>
    <t>23092.210091/2019-21</t>
  </si>
  <si>
    <t>23092.210092/2019-76</t>
  </si>
  <si>
    <t>23092.210056/2019-11</t>
  </si>
  <si>
    <t>23092.210063/2019-12</t>
  </si>
  <si>
    <t>23092.209994/2019-60</t>
  </si>
  <si>
    <t>PATRICIA ASHTON PROLLA</t>
  </si>
  <si>
    <t>MARIE CLAUDE OUIMET</t>
  </si>
  <si>
    <t>LAIS MACIEL GUTERRES ZEILMANN</t>
  </si>
  <si>
    <t>JOÃO CARLOS BATISTA SANTANA</t>
  </si>
  <si>
    <t>SAULO CHAVES DE AQUINO</t>
  </si>
  <si>
    <t>FLAVIO PECHANSKY</t>
  </si>
  <si>
    <t>MARIA FERNANDA NOGUEIRA BITTENCOURT</t>
  </si>
  <si>
    <t>TALITA UZEIKA</t>
  </si>
  <si>
    <t>NINON GIRARDON DA ROSA</t>
  </si>
  <si>
    <t>LUIZ MARCOS ZAMBONADO</t>
  </si>
  <si>
    <t>CRISTINA MARIA DE GOUVEIA CALDEIRA</t>
  </si>
  <si>
    <t>640.871.150-20</t>
  </si>
  <si>
    <t>HG273756 - PASSAPORTE CANADÁ</t>
  </si>
  <si>
    <t>000.748.140-36</t>
  </si>
  <si>
    <t>438.746.060-15</t>
  </si>
  <si>
    <t>000.038.960-99</t>
  </si>
  <si>
    <t>403.207.310-49</t>
  </si>
  <si>
    <t>602.966.901-04</t>
  </si>
  <si>
    <t>005.336.409-03</t>
  </si>
  <si>
    <t>476.171.520-00</t>
  </si>
  <si>
    <t>476.171.520-04</t>
  </si>
  <si>
    <t>503.660.099-15</t>
  </si>
  <si>
    <t>PASSAPORTE PORTUGUÊS N854707</t>
  </si>
  <si>
    <t>CONSULTORA</t>
  </si>
  <si>
    <t>ASSESSORA ADJUNTO</t>
  </si>
  <si>
    <t>CHEFE DE SERVIÇO DE EMERGÊNCIA</t>
  </si>
  <si>
    <t xml:space="preserve"> SUPERVISOR DE SUSTENTAÇÃO E RELACIONAMENTO EXTERNO</t>
  </si>
  <si>
    <t>PROCURADOR DA FAZENDA NACIONAL</t>
  </si>
  <si>
    <t>CHEFE DE SERVIÇO MÉDICO - PROFESSOR</t>
  </si>
  <si>
    <t>CHEFE DO SERVIÇO DE ENG PREDIAL E DE EDIFICAÇÕES</t>
  </si>
  <si>
    <t>COORDENADORA DO GRUPO DE ENFERMAGEM</t>
  </si>
  <si>
    <t>SUPERVISOR DE GESTÃO DE CONTRATOS E AQUISIÇÕES</t>
  </si>
  <si>
    <t>Participar de reunião de validação do anteprojeto e do planejamento estratégico da Iniciativa Nacional de Genômica e de Medicina de Precisão</t>
  </si>
  <si>
    <t>Participar 2° Workshop do Projeto Lean nas emergências, para os Hospitais participantes do projeto.</t>
  </si>
  <si>
    <t>Participar como palestrante e participante do V Congresso Brasileiro de Hospitais Universitários e de Ensino - ABRAHUE</t>
  </si>
  <si>
    <t>Participar da capacitação da ANAHP - SAÚDE BASEADA NA ENTREGA DE VALOR: O PAPEL DO HOSPITAL COMO INTEGRADOR DO SISTEMA</t>
  </si>
  <si>
    <t>Exército/HAMAM - Apoio à Implantação AGHUse - Módulos Registro de Colaboradores, Cadastro de Pacientes, Internação Administrativo, Internação Assistencial, Ambulatório Administrativo e Ambulatório Assistencial.</t>
  </si>
  <si>
    <t>Apoio à Implantação AGHUse - Módulos Registro de Colaboradores, Cadastro de Pacientes, Internação Administrativo, Internação Assistencial,  Ambulatório Administrativo e Ambulatório Assistencial.</t>
  </si>
  <si>
    <t>Visita apoio à implantação AGHUse dos Módulos Registro de Colaboradores, Cadastro de Pacientes, Internação e Ambulatório</t>
  </si>
  <si>
    <t>Apoio à Implantação AGHUse - Módulos Registro de Colaboradores, Cadastro de Pacientes, Internação Administrativo, Internação Assistencial, Ambulatório Administrativo e Ambulatório Assistencial.</t>
  </si>
  <si>
    <t>ASSEMBLÉIA GERAL EXTRAORDINÁRIA</t>
  </si>
  <si>
    <t>Participação no 10º Fórum Brasileiro da Atividade de Auditoria Interna Governamental</t>
  </si>
  <si>
    <t>Participação no 51º FONAITec.</t>
  </si>
  <si>
    <t>Participar V Congresso da Associação Brasileira de Hospitais Universitários e de Ensino - Abrahue.</t>
  </si>
  <si>
    <t>Reunião na SENAD para tratar da revisão do projeto dos drogômetros e atualização do projeto atual</t>
  </si>
  <si>
    <t>Participar no Seminário Nacional de Obras Públicas e Manutenção Predial</t>
  </si>
  <si>
    <t>Participar da capacitação da ANAHP - SAÚDE BASEADA NA ENTREGA DE VALOR: O PAPEL DO HOSPITAL COMO INTEGRADOR DO SISTEMA</t>
  </si>
  <si>
    <t>Ministrar Treinamento Projeto AGHuse.</t>
  </si>
  <si>
    <t>Audiência agenda ano TCU</t>
  </si>
  <si>
    <t>Participar da segunda Reunião no TCU, juntamente com os advogados do HCPA, para defesa do Edital N.º 0395/2019.</t>
  </si>
  <si>
    <t>Ministrar Palestra sobre  Proteção de Dados Pessoais na União Europeia e a Inteligência Artificial na área da saúde .</t>
  </si>
  <si>
    <t>MONTREAL X POA X MONTREAL</t>
  </si>
  <si>
    <t>POA X SALVADOR POA</t>
  </si>
  <si>
    <t>POA X LISBOA X POA</t>
  </si>
  <si>
    <t>nov/dez</t>
  </si>
  <si>
    <t>Out/Niov</t>
  </si>
  <si>
    <t>23092.210132/2019-80</t>
  </si>
  <si>
    <t>23092.210478/2019-88</t>
  </si>
  <si>
    <t>23092.210486/2019-24</t>
  </si>
  <si>
    <t>23092.210346/2019-56</t>
  </si>
  <si>
    <t>23092.210411/2019-43</t>
  </si>
  <si>
    <t>23092.210414/2019-87</t>
  </si>
  <si>
    <t>23092.210474/2019-08</t>
  </si>
  <si>
    <t>23092.210820/2019-40</t>
  </si>
  <si>
    <t>23092.210886/2019-30</t>
  </si>
  <si>
    <t>23092.210348/2019-45</t>
  </si>
  <si>
    <t>23092.210416/2019-76</t>
  </si>
  <si>
    <t>23092.210403/2019-05</t>
  </si>
  <si>
    <t>23092.210538/2019-62</t>
  </si>
  <si>
    <t>23092.210789/2019-47</t>
  </si>
  <si>
    <t>23092.210775/2019-23</t>
  </si>
  <si>
    <t>23092.210701/2019-97</t>
  </si>
  <si>
    <t>23092.210278/2019-25</t>
  </si>
  <si>
    <t>23092.210760/2019-65</t>
  </si>
  <si>
    <t>23092.210654/2019-81</t>
  </si>
  <si>
    <t>23092.210281/2019-49</t>
  </si>
  <si>
    <t>23092.210758/2019-96</t>
  </si>
  <si>
    <t>LUCIANA RAUPP RIOS WOHLGEMUTH</t>
  </si>
  <si>
    <t>957.881.660-04</t>
  </si>
  <si>
    <t>COORDENADORA DA GESTÃO CONTÁBIL</t>
  </si>
  <si>
    <t>SUZI ALVES CAMEY</t>
  </si>
  <si>
    <t>CHEFE DO SERVIÇO DE BIOESTATÍSTICA</t>
  </si>
  <si>
    <t>ALEXANDRE RIBEIRO PEREIRA LOPES</t>
  </si>
  <si>
    <t>028.169.317-06</t>
  </si>
  <si>
    <t>AURO ADANO TANAKA</t>
  </si>
  <si>
    <t>141.450.878-60</t>
  </si>
  <si>
    <t>EZEEL DE BORBA NUNES</t>
  </si>
  <si>
    <t>642.388.220-72</t>
  </si>
  <si>
    <t>ASSISTENTE DE ORÇAMENTO</t>
  </si>
  <si>
    <t>COORDENADORA DO GRUPO DE PESQUISA E PÓS GRADUAÇÃO</t>
  </si>
  <si>
    <t>ROSANE GASPAR PETTER</t>
  </si>
  <si>
    <t>926.829.950-04</t>
  </si>
  <si>
    <t>ANALISTA DE NEGÓCIO II</t>
  </si>
  <si>
    <t>CHEFE DA SEÇÃO DE GRÁFICA E DOCUMENTAÇÃO.</t>
  </si>
  <si>
    <t>ROSELI FATIMA ARMILIATTO BORTOLUZZI</t>
  </si>
  <si>
    <t xml:space="preserve"> GERALDO SIDIOMAR DA SILVA DUARTE</t>
  </si>
  <si>
    <t>113.229.340-53</t>
  </si>
  <si>
    <t xml:space="preserve"> NUBIA ROSANE PEREIRA DE AVILA</t>
  </si>
  <si>
    <t>608.486.180-68</t>
  </si>
  <si>
    <t>CHEFE DO SERVIÇO DE BENEFÍCIOS E APOSENTADORIAS</t>
  </si>
  <si>
    <t>ELIZABETH OBINO CIRNE LIMA</t>
  </si>
  <si>
    <t>TIAGO ANDRES VAZ</t>
  </si>
  <si>
    <t>146.229.778-18</t>
  </si>
  <si>
    <t>Participação II Encontro 2019 - Encerramento de Exercício</t>
  </si>
  <si>
    <t>Participar Reunião com Dr. Arthur Lima Guedes</t>
  </si>
  <si>
    <t>Participar do Second Conference on Statistics and Data Science - CSDS 2019</t>
  </si>
  <si>
    <t>Participação na Reunião do Conselho Fiscal</t>
  </si>
  <si>
    <t>Ministrar Treinamento do módulo Exames Laboratório e Imagens.</t>
  </si>
  <si>
    <t>Treinamento AGHUse - Módulos Exames - Imagens</t>
  </si>
  <si>
    <t>Implantação do módulo CCIH- AGH-use</t>
  </si>
  <si>
    <t>Capacitação na Plataforma Mais Brasil - Sistema de Captação de Recursos da União</t>
  </si>
  <si>
    <t>Representar a Profa Nadine Clausell e o HCPA em atividade no evento V Congresso da Associação Brasileira de Hospitais Universitários e de Ensino - ABRAHUE, em Salvador/BA</t>
  </si>
  <si>
    <t>Acompanhamento de implantação dos módulos Compras e Estoque</t>
  </si>
  <si>
    <t>Implantação do Módulo de Estoque</t>
  </si>
  <si>
    <t>Implantação Compras e Estoque no HMAB</t>
  </si>
  <si>
    <t>Participação 2º Seminário Internacional de Previdência Complementar</t>
  </si>
  <si>
    <t>Participação na Reunião do Sistema de Ouvidoria do Poder Executivo federal promovida pela CGU.</t>
  </si>
  <si>
    <t>Participar de Seminário Internacional Previdência Complementar promovido pela Secretaria de Previdência do Governo Federal</t>
  </si>
  <si>
    <t xml:space="preserve">BSB X POA X SPX BSB </t>
  </si>
  <si>
    <t>Nov/Dez</t>
  </si>
  <si>
    <t xml:space="preserve">POA X SP X POA </t>
  </si>
  <si>
    <t xml:space="preserve">  ASSESSOR</t>
  </si>
  <si>
    <t>859.907.607-87</t>
  </si>
  <si>
    <t>Participar de reunião de inovação e projetos no Hospital de Clínicas da USP</t>
  </si>
  <si>
    <t xml:space="preserve"> 930.111.130-68</t>
  </si>
  <si>
    <t>23092.211157/2019-09</t>
  </si>
  <si>
    <t>23092.211146/2019-11</t>
  </si>
  <si>
    <t>23092.210877/2019-49</t>
  </si>
  <si>
    <t>23092.210622/2019-86</t>
  </si>
  <si>
    <t>23092.211218/2019-20</t>
  </si>
  <si>
    <t>23092.211203/2019-61</t>
  </si>
  <si>
    <t>PAULA LUISA BROENSTRUP CORREA</t>
  </si>
  <si>
    <t>443.357.330-20</t>
  </si>
  <si>
    <t xml:space="preserve">  CHEFE DO SERVIÇO DE GESTÃO DE NEGÓCIO</t>
  </si>
  <si>
    <t>CARINA MACHADO COSTAMILAN HENRIQUES</t>
  </si>
  <si>
    <t>825.304.400-34</t>
  </si>
  <si>
    <t xml:space="preserve">  CHEFE DA SEÇÃO DE ARQ MÉDICO E INF EM SAÚDE</t>
  </si>
  <si>
    <t>DAYANNA MACHADO PIRES LEMOS</t>
  </si>
  <si>
    <t>018.923.060-69</t>
  </si>
  <si>
    <t>ENFERMEIRO DE CUIDADOS CORONARIANOS II</t>
  </si>
  <si>
    <r>
      <t>Participação no </t>
    </r>
    <r>
      <rPr>
        <b/>
        <sz val="8"/>
        <color indexed="8"/>
        <rFont val="Arial"/>
        <family val="2"/>
      </rPr>
      <t>Congresso eSAÚDE &amp; PEP 2019</t>
    </r>
  </si>
  <si>
    <t>Acompanhamento da paciente Luiza Bortolini Fraron (P:15927429) em viagem de retorno ao Hospital de Clínicas de Porto Alegre, após internação para implante de HeartMate II no Hospital Sírio Libanês em São Paulo/SP.</t>
  </si>
  <si>
    <t>Transporte de paciente PRICA para Ijuí</t>
  </si>
  <si>
    <t>POA X IJUÍ X POA</t>
  </si>
  <si>
    <t>SIMONE BEIER</t>
  </si>
  <si>
    <t xml:space="preserve"> 397.845.090-91</t>
  </si>
  <si>
    <t xml:space="preserve"> ASSISTENTE SOCIAL III</t>
  </si>
  <si>
    <t>23092.211341/2019-41</t>
  </si>
  <si>
    <t>23092.211557/2019-14</t>
  </si>
  <si>
    <t>23092.211485/2019-05</t>
  </si>
  <si>
    <t>23092.211499/2019-11</t>
  </si>
  <si>
    <t>23092.211338/2019-27</t>
  </si>
  <si>
    <t>23092.211340/2019-04</t>
  </si>
  <si>
    <t>23092.211378/2019-79</t>
  </si>
  <si>
    <t>23092.211642/2019-74</t>
  </si>
  <si>
    <t>23092.211535/2019-46</t>
  </si>
  <si>
    <t>23092.211519/2019-53</t>
  </si>
  <si>
    <t>23092.211745/2019-34</t>
  </si>
  <si>
    <t>23092.211643/2019-19</t>
  </si>
  <si>
    <t>020.227.750-08</t>
  </si>
  <si>
    <t>COORDENADORA FINANCEIRA</t>
  </si>
  <si>
    <t>NÚBIA ROSANE PEREIRA DE ÁVILA</t>
  </si>
  <si>
    <t>020.227.750-10</t>
  </si>
  <si>
    <t>MARCELO BRONDANI TOLLER</t>
  </si>
  <si>
    <t>000.824.470-71</t>
  </si>
  <si>
    <t xml:space="preserve"> ENGENHEIRO ELETRECISTA</t>
  </si>
  <si>
    <t xml:space="preserve"> KELY REGINA DA LUZ</t>
  </si>
  <si>
    <t>002.229.310-86</t>
  </si>
  <si>
    <t>ENFERMEIRO DE CUIDADOS CORONARIANOS I</t>
  </si>
  <si>
    <t>FERNANDA CECILIA DOS SANTOS</t>
  </si>
  <si>
    <t>007.319.490-56</t>
  </si>
  <si>
    <t>FISIOTERAPEUTA DA INTERNAÇÃO ADULTO II</t>
  </si>
  <si>
    <t>ELISANDRO MOURA DA SILVA</t>
  </si>
  <si>
    <t>635.773.990-15</t>
  </si>
  <si>
    <t xml:space="preserve"> MOTORISTA ESPECIALIZADO PRESIDÊNCIA-COMPRAS</t>
  </si>
  <si>
    <t>Participar em Reunião SPO/MEC e BB Prev.</t>
  </si>
  <si>
    <t>Participar em Reunião na BB Prev.</t>
  </si>
  <si>
    <t> Fazer inspeção de equipamentos fabricados pela empresa Schneider e que serão fornecidos para a obra da nova subestação 69kV</t>
  </si>
  <si>
    <t>Capacitação da equipe local para preparo de alta da paciente LUIZA BORTOLINI FRARON pós implante de dispositivo assistência ventricular HeartMate II.</t>
  </si>
  <si>
    <t>Ministrar Treinamento AGHUseE - MÓDULO FARMÁCIA - UNICAMP</t>
  </si>
  <si>
    <t>Levar com o carro do HCPA a equipe de profissionais do HCPA para capacitação da equipe local, Bento Gonçalves, para preparo de alta da paciente LUIZA BORTOLINI FRARON pós implante de dispositivo assistência ventricular HeartMate II.</t>
  </si>
  <si>
    <t>POA X BLUMENAU X POA</t>
  </si>
  <si>
    <t>POA X BENTO GONÇALVES X POA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</si>
</sst>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[$-416]d\ \ mmmm\,\ yyyy;@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9"/>
      <color indexed="8"/>
      <name val="Arial"/>
      <family val="2"/>
    </font>
    <font>
      <b/>
      <i/>
      <sz val="12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rgb="FF000000"/>
      <name val="Arail"/>
    </font>
    <font>
      <sz val="8"/>
      <color rgb="FFFF0000"/>
      <name val="Arial"/>
      <family val="2"/>
    </font>
    <font>
      <b/>
      <sz val="9"/>
      <color indexed="8"/>
      <name val="Arial"/>
      <family val="2"/>
    </font>
    <font>
      <b/>
      <sz val="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ntique Olive"/>
      <family val="2"/>
    </font>
    <font>
      <sz val="8"/>
      <color indexed="10"/>
      <name val="Arial"/>
      <family val="2"/>
    </font>
    <font>
      <b/>
      <sz val="9"/>
      <name val="Antique Olive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7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2" fillId="0" borderId="0" xfId="0" applyFont="1"/>
    <xf numFmtId="43" fontId="1" fillId="0" borderId="0" xfId="1"/>
    <xf numFmtId="43" fontId="3" fillId="0" borderId="0" xfId="1" applyFont="1" applyAlignment="1">
      <alignment horizontal="center" vertical="center"/>
    </xf>
    <xf numFmtId="43" fontId="1" fillId="0" borderId="0" xfId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8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43" fontId="9" fillId="0" borderId="2" xfId="1" applyFont="1" applyFill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/>
    </xf>
    <xf numFmtId="43" fontId="9" fillId="4" borderId="2" xfId="1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/>
    <xf numFmtId="164" fontId="10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43" fontId="10" fillId="0" borderId="0" xfId="1" applyFont="1" applyFill="1" applyBorder="1" applyAlignment="1">
      <alignment wrapText="1"/>
    </xf>
    <xf numFmtId="43" fontId="10" fillId="0" borderId="0" xfId="1" applyFont="1" applyFill="1" applyBorder="1"/>
    <xf numFmtId="43" fontId="9" fillId="0" borderId="0" xfId="1" applyFont="1" applyFill="1" applyBorder="1" applyAlignment="1">
      <alignment horizontal="center" vertical="center" wrapText="1"/>
    </xf>
    <xf numFmtId="43" fontId="9" fillId="0" borderId="0" xfId="1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 applyAlignment="1">
      <alignment horizontal="left"/>
    </xf>
    <xf numFmtId="43" fontId="13" fillId="0" borderId="0" xfId="1" applyFont="1" applyFill="1" applyBorder="1"/>
    <xf numFmtId="43" fontId="13" fillId="0" borderId="0" xfId="1" applyFont="1" applyFill="1" applyBorder="1" applyAlignment="1">
      <alignment vertical="center"/>
    </xf>
    <xf numFmtId="43" fontId="12" fillId="0" borderId="0" xfId="1" applyFont="1" applyAlignment="1">
      <alignment horizontal="center" vertical="center"/>
    </xf>
    <xf numFmtId="43" fontId="13" fillId="3" borderId="0" xfId="1" applyFont="1" applyFill="1" applyAlignment="1">
      <alignment horizontal="center" vertical="center"/>
    </xf>
    <xf numFmtId="43" fontId="13" fillId="4" borderId="0" xfId="1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Fill="1" applyBorder="1"/>
    <xf numFmtId="0" fontId="14" fillId="0" borderId="0" xfId="0" applyFont="1" applyBorder="1"/>
    <xf numFmtId="43" fontId="14" fillId="0" borderId="0" xfId="1" applyFont="1"/>
    <xf numFmtId="43" fontId="14" fillId="0" borderId="0" xfId="1" applyFont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43" fontId="13" fillId="0" borderId="0" xfId="1" applyFont="1" applyAlignment="1">
      <alignment horizontal="center" vertical="center"/>
    </xf>
    <xf numFmtId="43" fontId="15" fillId="0" borderId="0" xfId="1" applyFont="1" applyAlignment="1">
      <alignment horizontal="center" vertical="center"/>
    </xf>
    <xf numFmtId="43" fontId="16" fillId="0" borderId="0" xfId="1" applyFont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2" fillId="0" borderId="0" xfId="0" applyFont="1" applyBorder="1"/>
    <xf numFmtId="43" fontId="12" fillId="0" borderId="0" xfId="1" applyFont="1"/>
    <xf numFmtId="0" fontId="8" fillId="0" borderId="2" xfId="0" applyFont="1" applyFill="1" applyBorder="1" applyAlignment="1">
      <alignment horizontal="left" wrapText="1"/>
    </xf>
    <xf numFmtId="43" fontId="9" fillId="0" borderId="2" xfId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43" fontId="9" fillId="2" borderId="2" xfId="1" applyFont="1" applyFill="1" applyBorder="1" applyAlignment="1">
      <alignment vertical="center"/>
    </xf>
    <xf numFmtId="43" fontId="12" fillId="0" borderId="0" xfId="1" applyFont="1" applyAlignment="1">
      <alignment vertical="center"/>
    </xf>
    <xf numFmtId="43" fontId="13" fillId="3" borderId="0" xfId="1" applyFont="1" applyFill="1" applyAlignment="1">
      <alignment vertical="center"/>
    </xf>
    <xf numFmtId="43" fontId="13" fillId="4" borderId="0" xfId="1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/>
    </xf>
    <xf numFmtId="43" fontId="3" fillId="5" borderId="4" xfId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43" fontId="9" fillId="7" borderId="9" xfId="1" applyFont="1" applyFill="1" applyBorder="1" applyAlignment="1">
      <alignment vertical="center"/>
    </xf>
    <xf numFmtId="43" fontId="9" fillId="7" borderId="9" xfId="1" applyFont="1" applyFill="1" applyBorder="1" applyAlignment="1">
      <alignment horizontal="center" vertical="center"/>
    </xf>
    <xf numFmtId="43" fontId="9" fillId="7" borderId="10" xfId="1" applyFont="1" applyFill="1" applyBorder="1" applyAlignment="1">
      <alignment vertical="center"/>
    </xf>
    <xf numFmtId="43" fontId="9" fillId="7" borderId="10" xfId="1" applyFont="1" applyFill="1" applyBorder="1" applyAlignment="1">
      <alignment horizontal="center" vertical="center"/>
    </xf>
    <xf numFmtId="43" fontId="3" fillId="8" borderId="4" xfId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43" fontId="12" fillId="0" borderId="0" xfId="1" applyFont="1" applyFill="1" applyAlignment="1">
      <alignment horizontal="center" vertical="center"/>
    </xf>
    <xf numFmtId="43" fontId="13" fillId="7" borderId="4" xfId="1" applyFont="1" applyFill="1" applyBorder="1"/>
    <xf numFmtId="43" fontId="13" fillId="7" borderId="4" xfId="1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center"/>
    </xf>
    <xf numFmtId="43" fontId="17" fillId="8" borderId="8" xfId="1" applyFont="1" applyFill="1" applyBorder="1" applyAlignment="1">
      <alignment vertical="center" wrapText="1"/>
    </xf>
    <xf numFmtId="43" fontId="17" fillId="0" borderId="0" xfId="1" applyFont="1" applyAlignment="1">
      <alignment horizontal="center" vertical="center"/>
    </xf>
    <xf numFmtId="43" fontId="10" fillId="0" borderId="0" xfId="0" applyNumberFormat="1" applyFont="1" applyFill="1"/>
    <xf numFmtId="43" fontId="18" fillId="0" borderId="0" xfId="1" applyFont="1" applyAlignment="1">
      <alignment horizontal="center" vertical="center"/>
    </xf>
    <xf numFmtId="43" fontId="16" fillId="0" borderId="12" xfId="1" applyFont="1" applyBorder="1" applyAlignment="1">
      <alignment horizontal="center" vertical="center"/>
    </xf>
    <xf numFmtId="43" fontId="19" fillId="0" borderId="11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3" fontId="13" fillId="0" borderId="0" xfId="1" applyFont="1" applyAlignment="1">
      <alignment horizontal="right"/>
    </xf>
    <xf numFmtId="43" fontId="9" fillId="0" borderId="0" xfId="1" applyFont="1" applyFill="1" applyBorder="1" applyAlignment="1">
      <alignment vertical="center"/>
    </xf>
    <xf numFmtId="43" fontId="13" fillId="10" borderId="4" xfId="1" applyFont="1" applyFill="1" applyBorder="1"/>
    <xf numFmtId="0" fontId="20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2" fillId="0" borderId="22" xfId="0" applyFont="1" applyBorder="1" applyAlignment="1">
      <alignment horizontal="center" vertical="center" shrinkToFit="1"/>
    </xf>
    <xf numFmtId="43" fontId="3" fillId="0" borderId="23" xfId="1" applyFont="1" applyFill="1" applyBorder="1" applyAlignment="1">
      <alignment vertical="center" wrapTex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center" wrapText="1"/>
    </xf>
    <xf numFmtId="164" fontId="10" fillId="0" borderId="26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26" xfId="0" applyNumberFormat="1" applyFont="1" applyFill="1" applyBorder="1" applyAlignment="1">
      <alignment horizontal="center"/>
    </xf>
    <xf numFmtId="43" fontId="9" fillId="0" borderId="26" xfId="1" applyFont="1" applyFill="1" applyBorder="1" applyAlignment="1">
      <alignment vertical="center"/>
    </xf>
    <xf numFmtId="43" fontId="9" fillId="3" borderId="26" xfId="1" applyFont="1" applyFill="1" applyBorder="1" applyAlignment="1">
      <alignment horizontal="center" vertical="center"/>
    </xf>
    <xf numFmtId="43" fontId="9" fillId="4" borderId="26" xfId="1" applyFont="1" applyFill="1" applyBorder="1" applyAlignment="1">
      <alignment horizontal="center" vertical="center"/>
    </xf>
    <xf numFmtId="43" fontId="3" fillId="0" borderId="27" xfId="1" applyFont="1" applyFill="1" applyBorder="1" applyAlignment="1">
      <alignment vertical="center" wrapText="1"/>
    </xf>
    <xf numFmtId="0" fontId="2" fillId="0" borderId="33" xfId="0" applyFont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left" wrapText="1"/>
    </xf>
    <xf numFmtId="0" fontId="8" fillId="0" borderId="20" xfId="0" applyFont="1" applyFill="1" applyBorder="1" applyAlignment="1">
      <alignment horizontal="center" wrapText="1"/>
    </xf>
    <xf numFmtId="164" fontId="10" fillId="0" borderId="20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0" xfId="0" applyNumberFormat="1" applyFont="1" applyFill="1" applyBorder="1" applyAlignment="1">
      <alignment horizontal="center"/>
    </xf>
    <xf numFmtId="43" fontId="9" fillId="3" borderId="20" xfId="1" applyFont="1" applyFill="1" applyBorder="1" applyAlignment="1">
      <alignment horizontal="center" vertical="center"/>
    </xf>
    <xf numFmtId="43" fontId="9" fillId="4" borderId="20" xfId="1" applyFont="1" applyFill="1" applyBorder="1" applyAlignment="1">
      <alignment horizontal="center" vertical="center"/>
    </xf>
    <xf numFmtId="43" fontId="3" fillId="0" borderId="21" xfId="1" applyFont="1" applyFill="1" applyBorder="1" applyAlignment="1">
      <alignment vertical="center" wrapText="1"/>
    </xf>
    <xf numFmtId="43" fontId="9" fillId="0" borderId="26" xfId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left"/>
    </xf>
    <xf numFmtId="43" fontId="9" fillId="0" borderId="20" xfId="1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43" fontId="9" fillId="2" borderId="20" xfId="1" applyFont="1" applyFill="1" applyBorder="1" applyAlignment="1">
      <alignment vertical="center"/>
    </xf>
    <xf numFmtId="43" fontId="9" fillId="2" borderId="26" xfId="1" applyFont="1" applyFill="1" applyBorder="1" applyAlignment="1">
      <alignment vertical="center"/>
    </xf>
    <xf numFmtId="0" fontId="5" fillId="0" borderId="37" xfId="0" applyFont="1" applyFill="1" applyBorder="1" applyAlignment="1">
      <alignment horizontal="center"/>
    </xf>
    <xf numFmtId="0" fontId="10" fillId="0" borderId="26" xfId="0" applyNumberFormat="1" applyFont="1" applyFill="1" applyBorder="1" applyAlignment="1">
      <alignment horizontal="center"/>
    </xf>
    <xf numFmtId="43" fontId="21" fillId="2" borderId="0" xfId="1" applyFont="1" applyFill="1" applyAlignment="1">
      <alignment horizontal="center" vertical="center"/>
    </xf>
    <xf numFmtId="43" fontId="16" fillId="0" borderId="0" xfId="1" applyFont="1" applyBorder="1" applyAlignment="1">
      <alignment horizontal="center" vertical="center"/>
    </xf>
    <xf numFmtId="43" fontId="1" fillId="0" borderId="0" xfId="1" applyBorder="1" applyAlignment="1">
      <alignment horizontal="center" vertical="center"/>
    </xf>
    <xf numFmtId="43" fontId="19" fillId="0" borderId="0" xfId="1" applyFont="1" applyBorder="1" applyAlignment="1">
      <alignment horizontal="center" vertical="center"/>
    </xf>
    <xf numFmtId="43" fontId="13" fillId="7" borderId="4" xfId="0" applyNumberFormat="1" applyFont="1" applyFill="1" applyBorder="1"/>
    <xf numFmtId="43" fontId="13" fillId="7" borderId="4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43" fontId="23" fillId="0" borderId="0" xfId="1" applyFont="1" applyAlignment="1">
      <alignment horizontal="center" vertical="center"/>
    </xf>
    <xf numFmtId="43" fontId="14" fillId="0" borderId="0" xfId="0" applyNumberFormat="1" applyFont="1" applyBorder="1"/>
    <xf numFmtId="0" fontId="8" fillId="11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165" fontId="25" fillId="11" borderId="4" xfId="0" applyNumberFormat="1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/>
    </xf>
    <xf numFmtId="43" fontId="9" fillId="7" borderId="39" xfId="1" applyFont="1" applyFill="1" applyBorder="1" applyAlignment="1">
      <alignment vertical="center"/>
    </xf>
    <xf numFmtId="43" fontId="9" fillId="7" borderId="39" xfId="1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43" fontId="17" fillId="8" borderId="12" xfId="1" applyFont="1" applyFill="1" applyBorder="1" applyAlignment="1">
      <alignment vertical="center" wrapText="1"/>
    </xf>
    <xf numFmtId="0" fontId="10" fillId="0" borderId="34" xfId="0" applyNumberFormat="1" applyFont="1" applyFill="1" applyBorder="1" applyAlignment="1">
      <alignment horizontal="center"/>
    </xf>
    <xf numFmtId="164" fontId="24" fillId="0" borderId="20" xfId="0" applyNumberFormat="1" applyFont="1" applyFill="1" applyBorder="1" applyAlignment="1">
      <alignment horizontal="center"/>
    </xf>
    <xf numFmtId="0" fontId="9" fillId="6" borderId="39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43" fontId="3" fillId="0" borderId="40" xfId="1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24" fillId="0" borderId="2" xfId="0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27" fillId="0" borderId="2" xfId="0" applyFont="1" applyFill="1" applyBorder="1"/>
    <xf numFmtId="0" fontId="5" fillId="0" borderId="0" xfId="0" applyFont="1" applyFill="1" applyBorder="1" applyAlignment="1">
      <alignment horizontal="center"/>
    </xf>
    <xf numFmtId="43" fontId="10" fillId="0" borderId="2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41" xfId="0" applyFont="1" applyBorder="1" applyAlignment="1">
      <alignment horizontal="center" wrapText="1"/>
    </xf>
    <xf numFmtId="0" fontId="27" fillId="0" borderId="0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3" borderId="14" xfId="1" applyFont="1" applyFill="1" applyBorder="1" applyAlignment="1">
      <alignment horizontal="center" vertical="center" wrapText="1"/>
    </xf>
    <xf numFmtId="43" fontId="3" fillId="0" borderId="15" xfId="1" applyFont="1" applyFill="1" applyBorder="1" applyAlignment="1">
      <alignment horizontal="center" vertical="center" wrapText="1"/>
    </xf>
    <xf numFmtId="43" fontId="3" fillId="4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12" borderId="26" xfId="0" applyFont="1" applyFill="1" applyBorder="1" applyAlignment="1">
      <alignment horizontal="left"/>
    </xf>
    <xf numFmtId="0" fontId="27" fillId="12" borderId="41" xfId="0" applyFont="1" applyFill="1" applyBorder="1" applyAlignment="1">
      <alignment horizontal="center" wrapText="1"/>
    </xf>
    <xf numFmtId="0" fontId="27" fillId="12" borderId="2" xfId="0" applyFont="1" applyFill="1" applyBorder="1" applyAlignment="1">
      <alignment horizontal="center" wrapText="1"/>
    </xf>
    <xf numFmtId="0" fontId="28" fillId="12" borderId="2" xfId="0" applyFont="1" applyFill="1" applyBorder="1" applyAlignment="1">
      <alignment horizontal="center"/>
    </xf>
    <xf numFmtId="0" fontId="27" fillId="12" borderId="2" xfId="0" applyFont="1" applyFill="1" applyBorder="1" applyAlignment="1">
      <alignment horizontal="center"/>
    </xf>
    <xf numFmtId="0" fontId="8" fillId="11" borderId="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wrapText="1"/>
    </xf>
    <xf numFmtId="0" fontId="8" fillId="8" borderId="0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shrinkToFit="1"/>
    </xf>
    <xf numFmtId="0" fontId="27" fillId="12" borderId="20" xfId="0" applyFont="1" applyFill="1" applyBorder="1" applyAlignment="1">
      <alignment horizontal="center"/>
    </xf>
    <xf numFmtId="0" fontId="8" fillId="12" borderId="2" xfId="0" applyFont="1" applyFill="1" applyBorder="1" applyAlignment="1">
      <alignment horizont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 wrapText="1"/>
    </xf>
    <xf numFmtId="0" fontId="9" fillId="12" borderId="26" xfId="0" applyFont="1" applyFill="1" applyBorder="1" applyAlignment="1">
      <alignment horizontal="center"/>
    </xf>
    <xf numFmtId="0" fontId="30" fillId="0" borderId="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wrapText="1"/>
    </xf>
    <xf numFmtId="0" fontId="27" fillId="0" borderId="42" xfId="0" applyFont="1" applyBorder="1" applyAlignment="1">
      <alignment horizontal="center" wrapText="1"/>
    </xf>
    <xf numFmtId="0" fontId="27" fillId="0" borderId="43" xfId="0" applyFont="1" applyBorder="1" applyAlignment="1">
      <alignment horizontal="center" wrapText="1"/>
    </xf>
    <xf numFmtId="0" fontId="8" fillId="0" borderId="42" xfId="0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2" fillId="0" borderId="2" xfId="0" applyNumberFormat="1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27" fillId="0" borderId="26" xfId="0" applyFont="1" applyBorder="1" applyAlignment="1">
      <alignment horizontal="center" wrapText="1"/>
    </xf>
    <xf numFmtId="164" fontId="9" fillId="0" borderId="26" xfId="0" applyNumberFormat="1" applyFont="1" applyFill="1" applyBorder="1" applyAlignment="1">
      <alignment horizontal="center"/>
    </xf>
    <xf numFmtId="0" fontId="32" fillId="0" borderId="26" xfId="0" applyFont="1" applyFill="1" applyBorder="1" applyAlignment="1">
      <alignment horizontal="center"/>
    </xf>
    <xf numFmtId="0" fontId="32" fillId="0" borderId="26" xfId="0" applyNumberFormat="1" applyFont="1" applyFill="1" applyBorder="1" applyAlignment="1">
      <alignment horizontal="center"/>
    </xf>
    <xf numFmtId="43" fontId="9" fillId="2" borderId="46" xfId="1" applyFont="1" applyFill="1" applyBorder="1" applyAlignment="1">
      <alignment vertical="center"/>
    </xf>
    <xf numFmtId="43" fontId="10" fillId="0" borderId="26" xfId="1" applyFont="1" applyFill="1" applyBorder="1" applyAlignment="1">
      <alignment vertical="center"/>
    </xf>
    <xf numFmtId="0" fontId="8" fillId="0" borderId="2" xfId="0" applyFont="1" applyBorder="1" applyAlignment="1">
      <alignment horizontal="center" wrapText="1"/>
    </xf>
    <xf numFmtId="0" fontId="27" fillId="0" borderId="2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wrapText="1"/>
    </xf>
    <xf numFmtId="164" fontId="35" fillId="0" borderId="2" xfId="0" applyNumberFormat="1" applyFont="1" applyFill="1" applyBorder="1" applyAlignment="1">
      <alignment horizontal="center"/>
    </xf>
    <xf numFmtId="164" fontId="32" fillId="0" borderId="2" xfId="0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wrapText="1"/>
    </xf>
    <xf numFmtId="43" fontId="9" fillId="8" borderId="2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3" fontId="9" fillId="8" borderId="2" xfId="1" applyFont="1" applyFill="1" applyBorder="1" applyAlignment="1">
      <alignment vertical="center"/>
    </xf>
    <xf numFmtId="0" fontId="9" fillId="8" borderId="8" xfId="0" applyFont="1" applyFill="1" applyBorder="1" applyAlignment="1">
      <alignment horizontal="center"/>
    </xf>
    <xf numFmtId="164" fontId="36" fillId="0" borderId="2" xfId="0" applyNumberFormat="1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36" fillId="0" borderId="2" xfId="0" applyNumberFormat="1" applyFont="1" applyFill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7" fillId="0" borderId="49" xfId="0" applyFont="1" applyBorder="1" applyAlignment="1">
      <alignment horizontal="center"/>
    </xf>
    <xf numFmtId="0" fontId="8" fillId="0" borderId="49" xfId="0" applyFont="1" applyFill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20" xfId="0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27" fillId="0" borderId="13" xfId="0" applyFont="1" applyBorder="1"/>
    <xf numFmtId="0" fontId="27" fillId="12" borderId="26" xfId="0" applyFont="1" applyFill="1" applyBorder="1" applyAlignment="1">
      <alignment horizontal="center" wrapText="1"/>
    </xf>
    <xf numFmtId="0" fontId="27" fillId="0" borderId="42" xfId="0" applyFont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37" fillId="0" borderId="2" xfId="0" applyFont="1" applyBorder="1" applyAlignment="1">
      <alignment horizontal="center" wrapText="1"/>
    </xf>
    <xf numFmtId="0" fontId="9" fillId="12" borderId="20" xfId="0" applyFont="1" applyFill="1" applyBorder="1" applyAlignment="1">
      <alignment horizontal="center"/>
    </xf>
    <xf numFmtId="0" fontId="27" fillId="12" borderId="20" xfId="0" applyFont="1" applyFill="1" applyBorder="1" applyAlignment="1">
      <alignment horizontal="center" wrapText="1"/>
    </xf>
    <xf numFmtId="43" fontId="10" fillId="0" borderId="20" xfId="1" applyFont="1" applyFill="1" applyBorder="1" applyAlignment="1">
      <alignment vertical="center"/>
    </xf>
    <xf numFmtId="0" fontId="28" fillId="12" borderId="0" xfId="0" applyFont="1" applyFill="1" applyBorder="1"/>
    <xf numFmtId="0" fontId="27" fillId="12" borderId="0" xfId="0" applyFont="1" applyFill="1" applyBorder="1" applyAlignment="1">
      <alignment horizontal="center"/>
    </xf>
    <xf numFmtId="0" fontId="28" fillId="12" borderId="0" xfId="0" applyFont="1" applyFill="1" applyBorder="1" applyAlignment="1">
      <alignment horizontal="center"/>
    </xf>
    <xf numFmtId="0" fontId="27" fillId="12" borderId="0" xfId="0" applyFont="1" applyFill="1" applyBorder="1"/>
    <xf numFmtId="0" fontId="37" fillId="0" borderId="26" xfId="0" applyFont="1" applyBorder="1" applyAlignment="1">
      <alignment horizontal="center"/>
    </xf>
    <xf numFmtId="0" fontId="27" fillId="0" borderId="50" xfId="0" applyFont="1" applyBorder="1" applyAlignment="1">
      <alignment horizontal="center"/>
    </xf>
    <xf numFmtId="0" fontId="28" fillId="12" borderId="13" xfId="0" applyFont="1" applyFill="1" applyBorder="1"/>
    <xf numFmtId="0" fontId="27" fillId="0" borderId="51" xfId="0" applyFont="1" applyBorder="1" applyAlignment="1">
      <alignment horizontal="center" wrapText="1"/>
    </xf>
    <xf numFmtId="43" fontId="3" fillId="0" borderId="52" xfId="1" applyFont="1" applyFill="1" applyBorder="1" applyAlignment="1">
      <alignment vertical="center" wrapText="1"/>
    </xf>
    <xf numFmtId="0" fontId="37" fillId="0" borderId="46" xfId="0" applyFont="1" applyBorder="1" applyAlignment="1">
      <alignment horizontal="center"/>
    </xf>
    <xf numFmtId="0" fontId="37" fillId="0" borderId="28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26" xfId="0" applyFont="1" applyBorder="1" applyAlignment="1">
      <alignment horizontal="center" wrapText="1"/>
    </xf>
    <xf numFmtId="0" fontId="38" fillId="0" borderId="46" xfId="0" applyFont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43" fontId="3" fillId="0" borderId="32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wrapText="1"/>
    </xf>
    <xf numFmtId="0" fontId="8" fillId="0" borderId="49" xfId="0" applyFont="1" applyFill="1" applyBorder="1" applyAlignment="1">
      <alignment horizontal="center" wrapText="1"/>
    </xf>
    <xf numFmtId="0" fontId="27" fillId="0" borderId="2" xfId="0" applyFont="1" applyBorder="1" applyAlignment="1">
      <alignment wrapText="1"/>
    </xf>
    <xf numFmtId="0" fontId="37" fillId="0" borderId="41" xfId="0" applyFont="1" applyBorder="1" applyAlignment="1">
      <alignment horizontal="center"/>
    </xf>
    <xf numFmtId="0" fontId="8" fillId="0" borderId="53" xfId="0" applyFont="1" applyFill="1" applyBorder="1" applyAlignment="1">
      <alignment horizontal="center"/>
    </xf>
    <xf numFmtId="0" fontId="27" fillId="0" borderId="19" xfId="0" applyFont="1" applyBorder="1" applyAlignment="1">
      <alignment horizontal="center" wrapText="1"/>
    </xf>
    <xf numFmtId="0" fontId="30" fillId="7" borderId="4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shrinkToFit="1"/>
    </xf>
    <xf numFmtId="0" fontId="3" fillId="7" borderId="4" xfId="0" applyFont="1" applyFill="1" applyBorder="1" applyAlignment="1">
      <alignment horizontal="center" vertical="center" shrinkToFit="1"/>
    </xf>
    <xf numFmtId="0" fontId="30" fillId="7" borderId="4" xfId="0" applyFont="1" applyFill="1" applyBorder="1" applyAlignment="1">
      <alignment horizontal="center" vertical="center" shrinkToFi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43" fontId="3" fillId="7" borderId="14" xfId="1" applyFont="1" applyFill="1" applyBorder="1" applyAlignment="1">
      <alignment horizontal="center" vertical="center" wrapText="1"/>
    </xf>
    <xf numFmtId="43" fontId="3" fillId="7" borderId="4" xfId="1" applyFont="1" applyFill="1" applyBorder="1" applyAlignment="1">
      <alignment horizontal="center" vertical="center" wrapText="1"/>
    </xf>
    <xf numFmtId="43" fontId="3" fillId="7" borderId="15" xfId="1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wrapText="1"/>
    </xf>
    <xf numFmtId="0" fontId="30" fillId="7" borderId="31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shrinkToFit="1"/>
    </xf>
    <xf numFmtId="0" fontId="3" fillId="7" borderId="11" xfId="0" applyFont="1" applyFill="1" applyBorder="1" applyAlignment="1">
      <alignment horizontal="center" vertical="center" shrinkToFit="1"/>
    </xf>
    <xf numFmtId="0" fontId="30" fillId="7" borderId="11" xfId="0" applyFont="1" applyFill="1" applyBorder="1" applyAlignment="1">
      <alignment horizontal="center" vertical="center" shrinkToFi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43" fontId="3" fillId="7" borderId="28" xfId="1" applyFont="1" applyFill="1" applyBorder="1" applyAlignment="1">
      <alignment horizontal="center" vertical="center" wrapText="1"/>
    </xf>
    <xf numFmtId="43" fontId="3" fillId="7" borderId="32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30" fillId="7" borderId="44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shrinkToFit="1"/>
    </xf>
    <xf numFmtId="0" fontId="3" fillId="7" borderId="18" xfId="0" applyFont="1" applyFill="1" applyBorder="1" applyAlignment="1">
      <alignment horizontal="center" vertical="center" shrinkToFit="1"/>
    </xf>
    <xf numFmtId="0" fontId="3" fillId="7" borderId="44" xfId="0" applyFont="1" applyFill="1" applyBorder="1" applyAlignment="1">
      <alignment horizontal="center" vertical="center" shrinkToFit="1"/>
    </xf>
    <xf numFmtId="0" fontId="3" fillId="7" borderId="45" xfId="0" applyFont="1" applyFill="1" applyBorder="1" applyAlignment="1">
      <alignment horizontal="center" vertical="center" shrinkToFit="1"/>
    </xf>
    <xf numFmtId="0" fontId="3" fillId="7" borderId="35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/>
    </xf>
    <xf numFmtId="0" fontId="38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30" fillId="7" borderId="11" xfId="0" applyFont="1" applyFill="1" applyBorder="1" applyAlignment="1">
      <alignment horizontal="center" vertical="center" wrapText="1"/>
    </xf>
    <xf numFmtId="0" fontId="3" fillId="7" borderId="47" xfId="0" applyFont="1" applyFill="1" applyBorder="1" applyAlignment="1">
      <alignment horizontal="center" vertical="center" wrapText="1"/>
    </xf>
    <xf numFmtId="0" fontId="3" fillId="7" borderId="48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43" fontId="3" fillId="7" borderId="29" xfId="1" applyFont="1" applyFill="1" applyBorder="1" applyAlignment="1">
      <alignment horizontal="center" vertical="center" wrapText="1"/>
    </xf>
    <xf numFmtId="43" fontId="3" fillId="7" borderId="11" xfId="1" applyFont="1" applyFill="1" applyBorder="1" applyAlignment="1">
      <alignment horizontal="center" vertical="center" wrapText="1"/>
    </xf>
    <xf numFmtId="43" fontId="3" fillId="7" borderId="30" xfId="1" applyFont="1" applyFill="1" applyBorder="1" applyAlignment="1">
      <alignment horizontal="center" vertical="center" wrapText="1"/>
    </xf>
    <xf numFmtId="0" fontId="38" fillId="0" borderId="20" xfId="0" applyFont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7" fillId="8" borderId="2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shrinkToFit="1"/>
    </xf>
    <xf numFmtId="43" fontId="9" fillId="13" borderId="2" xfId="1" applyFont="1" applyFill="1" applyBorder="1" applyAlignment="1">
      <alignment horizontal="center" vertical="center"/>
    </xf>
    <xf numFmtId="0" fontId="27" fillId="0" borderId="2" xfId="0" applyFont="1" applyBorder="1"/>
    <xf numFmtId="43" fontId="9" fillId="14" borderId="2" xfId="1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wrapText="1"/>
    </xf>
    <xf numFmtId="0" fontId="9" fillId="12" borderId="2" xfId="0" quotePrefix="1" applyFont="1" applyFill="1" applyBorder="1" applyAlignment="1">
      <alignment horizontal="center"/>
    </xf>
    <xf numFmtId="0" fontId="9" fillId="12" borderId="41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37" fillId="0" borderId="41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1" xfId="0" applyFont="1" applyFill="1" applyBorder="1" applyAlignment="1">
      <alignment horizontal="center" wrapText="1"/>
    </xf>
    <xf numFmtId="43" fontId="9" fillId="2" borderId="41" xfId="1" applyFont="1" applyFill="1" applyBorder="1" applyAlignment="1">
      <alignment vertical="center"/>
    </xf>
    <xf numFmtId="43" fontId="9" fillId="0" borderId="41" xfId="1" applyFont="1" applyFill="1" applyBorder="1" applyAlignment="1">
      <alignment vertical="center"/>
    </xf>
    <xf numFmtId="43" fontId="9" fillId="14" borderId="41" xfId="1" applyFont="1" applyFill="1" applyBorder="1" applyAlignment="1">
      <alignment horizontal="center" vertical="center"/>
    </xf>
    <xf numFmtId="43" fontId="9" fillId="13" borderId="41" xfId="1" applyFont="1" applyFill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/>
    </xf>
    <xf numFmtId="0" fontId="32" fillId="0" borderId="41" xfId="0" applyFont="1" applyFill="1" applyBorder="1" applyAlignment="1">
      <alignment horizontal="center"/>
    </xf>
    <xf numFmtId="0" fontId="32" fillId="0" borderId="4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shrinkToFit="1"/>
    </xf>
    <xf numFmtId="0" fontId="9" fillId="15" borderId="2" xfId="0" applyFont="1" applyFill="1" applyBorder="1" applyAlignment="1">
      <alignment horizontal="center"/>
    </xf>
    <xf numFmtId="0" fontId="9" fillId="15" borderId="2" xfId="0" applyFont="1" applyFill="1" applyBorder="1" applyAlignment="1">
      <alignment horizontal="center" wrapText="1"/>
    </xf>
    <xf numFmtId="0" fontId="9" fillId="16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9" fillId="15" borderId="20" xfId="0" applyFont="1" applyFill="1" applyBorder="1" applyAlignment="1">
      <alignment horizontal="center"/>
    </xf>
    <xf numFmtId="0" fontId="37" fillId="0" borderId="20" xfId="0" applyFont="1" applyFill="1" applyBorder="1" applyAlignment="1">
      <alignment horizontal="center" wrapText="1"/>
    </xf>
    <xf numFmtId="0" fontId="27" fillId="0" borderId="20" xfId="0" applyFont="1" applyFill="1" applyBorder="1" applyAlignment="1">
      <alignment horizontal="center" wrapText="1"/>
    </xf>
    <xf numFmtId="16" fontId="32" fillId="0" borderId="2" xfId="0" applyNumberFormat="1" applyFont="1" applyFill="1" applyBorder="1" applyAlignment="1">
      <alignment horizontal="center"/>
    </xf>
    <xf numFmtId="0" fontId="9" fillId="16" borderId="2" xfId="0" applyFont="1" applyFill="1" applyBorder="1" applyAlignment="1">
      <alignment horizontal="center" wrapText="1"/>
    </xf>
    <xf numFmtId="0" fontId="27" fillId="0" borderId="2" xfId="0" applyFont="1" applyBorder="1" applyAlignment="1">
      <alignment vertical="center" wrapText="1"/>
    </xf>
    <xf numFmtId="0" fontId="37" fillId="0" borderId="20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9" fillId="16" borderId="46" xfId="0" applyFont="1" applyFill="1" applyBorder="1" applyAlignment="1">
      <alignment horizontal="center"/>
    </xf>
    <xf numFmtId="43" fontId="9" fillId="3" borderId="46" xfId="1" applyFont="1" applyFill="1" applyBorder="1" applyAlignment="1">
      <alignment horizontal="center" vertical="center"/>
    </xf>
    <xf numFmtId="43" fontId="9" fillId="4" borderId="46" xfId="1" applyFont="1" applyFill="1" applyBorder="1" applyAlignment="1">
      <alignment horizontal="center" vertical="center"/>
    </xf>
    <xf numFmtId="43" fontId="3" fillId="0" borderId="55" xfId="1" applyFont="1" applyFill="1" applyBorder="1" applyAlignment="1">
      <alignment vertical="center" wrapText="1"/>
    </xf>
    <xf numFmtId="0" fontId="34" fillId="0" borderId="0" xfId="0" applyFont="1" applyBorder="1" applyAlignment="1">
      <alignment horizontal="center" wrapText="1"/>
    </xf>
    <xf numFmtId="43" fontId="17" fillId="8" borderId="39" xfId="1" applyFont="1" applyFill="1" applyBorder="1" applyAlignment="1">
      <alignment vertical="center" wrapText="1"/>
    </xf>
    <xf numFmtId="0" fontId="9" fillId="8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0" fillId="11" borderId="5" xfId="0" applyFont="1" applyFill="1" applyBorder="1" applyAlignment="1">
      <alignment horizontal="center"/>
    </xf>
    <xf numFmtId="0" fontId="20" fillId="11" borderId="14" xfId="0" applyFont="1" applyFill="1" applyBorder="1" applyAlignment="1">
      <alignment horizontal="center"/>
    </xf>
    <xf numFmtId="0" fontId="20" fillId="11" borderId="15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 vertical="center" shrinkToFit="1"/>
    </xf>
    <xf numFmtId="0" fontId="3" fillId="7" borderId="3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 vertical="center" shrinkToFit="1"/>
    </xf>
    <xf numFmtId="0" fontId="3" fillId="7" borderId="14" xfId="0" applyFont="1" applyFill="1" applyBorder="1" applyAlignment="1">
      <alignment horizontal="center" vertical="center" shrinkToFit="1"/>
    </xf>
    <xf numFmtId="0" fontId="3" fillId="7" borderId="15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2:AB100"/>
  <sheetViews>
    <sheetView showGridLines="0" tabSelected="1" zoomScale="90" zoomScaleNormal="90" workbookViewId="0">
      <selection activeCell="N9" sqref="N9"/>
    </sheetView>
  </sheetViews>
  <sheetFormatPr defaultRowHeight="15"/>
  <cols>
    <col min="1" max="1" width="7.42578125" customWidth="1"/>
    <col min="2" max="2" width="12.7109375" customWidth="1"/>
    <col min="3" max="3" width="15.28515625" style="1" customWidth="1"/>
    <col min="4" max="4" width="28.5703125" customWidth="1"/>
    <col min="5" max="5" width="30" style="2" customWidth="1"/>
    <col min="6" max="6" width="22.5703125" style="4" customWidth="1"/>
    <col min="7" max="7" width="26.140625" style="4" customWidth="1"/>
    <col min="8" max="8" width="17.5703125" style="5" customWidth="1"/>
    <col min="9" max="9" width="17.28515625" style="6" customWidth="1"/>
    <col min="10" max="10" width="18" style="6" customWidth="1"/>
    <col min="12" max="12" width="12.140625" customWidth="1"/>
    <col min="243" max="243" width="7.42578125" customWidth="1"/>
    <col min="244" max="244" width="22.7109375" customWidth="1"/>
    <col min="245" max="245" width="14.42578125" customWidth="1"/>
    <col min="246" max="246" width="16.42578125" customWidth="1"/>
    <col min="247" max="247" width="8.140625" customWidth="1"/>
    <col min="248" max="248" width="10.85546875" customWidth="1"/>
    <col min="249" max="249" width="38.85546875" customWidth="1"/>
    <col min="250" max="250" width="25.5703125" customWidth="1"/>
    <col min="254" max="254" width="44.85546875" customWidth="1"/>
    <col min="255" max="255" width="14.42578125" customWidth="1"/>
    <col min="256" max="256" width="13.7109375" customWidth="1"/>
    <col min="257" max="257" width="13.85546875" customWidth="1"/>
    <col min="258" max="258" width="13.5703125" customWidth="1"/>
    <col min="259" max="259" width="11.7109375" customWidth="1"/>
    <col min="260" max="260" width="14" customWidth="1"/>
    <col min="261" max="261" width="16.28515625" customWidth="1"/>
    <col min="262" max="262" width="12.5703125" customWidth="1"/>
    <col min="263" max="263" width="13.28515625" customWidth="1"/>
    <col min="264" max="264" width="14.85546875" customWidth="1"/>
    <col min="265" max="265" width="18" customWidth="1"/>
    <col min="266" max="266" width="24" customWidth="1"/>
    <col min="499" max="499" width="7.42578125" customWidth="1"/>
    <col min="500" max="500" width="22.7109375" customWidth="1"/>
    <col min="501" max="501" width="14.42578125" customWidth="1"/>
    <col min="502" max="502" width="16.42578125" customWidth="1"/>
    <col min="503" max="503" width="8.140625" customWidth="1"/>
    <col min="504" max="504" width="10.85546875" customWidth="1"/>
    <col min="505" max="505" width="38.85546875" customWidth="1"/>
    <col min="506" max="506" width="25.5703125" customWidth="1"/>
    <col min="510" max="510" width="44.85546875" customWidth="1"/>
    <col min="511" max="511" width="14.42578125" customWidth="1"/>
    <col min="512" max="512" width="13.7109375" customWidth="1"/>
    <col min="513" max="513" width="13.85546875" customWidth="1"/>
    <col min="514" max="514" width="13.5703125" customWidth="1"/>
    <col min="515" max="515" width="11.7109375" customWidth="1"/>
    <col min="516" max="516" width="14" customWidth="1"/>
    <col min="517" max="517" width="16.28515625" customWidth="1"/>
    <col min="518" max="518" width="12.5703125" customWidth="1"/>
    <col min="519" max="519" width="13.28515625" customWidth="1"/>
    <col min="520" max="520" width="14.85546875" customWidth="1"/>
    <col min="521" max="521" width="18" customWidth="1"/>
    <col min="522" max="522" width="24" customWidth="1"/>
    <col min="755" max="755" width="7.42578125" customWidth="1"/>
    <col min="756" max="756" width="22.7109375" customWidth="1"/>
    <col min="757" max="757" width="14.42578125" customWidth="1"/>
    <col min="758" max="758" width="16.42578125" customWidth="1"/>
    <col min="759" max="759" width="8.140625" customWidth="1"/>
    <col min="760" max="760" width="10.85546875" customWidth="1"/>
    <col min="761" max="761" width="38.85546875" customWidth="1"/>
    <col min="762" max="762" width="25.5703125" customWidth="1"/>
    <col min="766" max="766" width="44.85546875" customWidth="1"/>
    <col min="767" max="767" width="14.42578125" customWidth="1"/>
    <col min="768" max="768" width="13.7109375" customWidth="1"/>
    <col min="769" max="769" width="13.85546875" customWidth="1"/>
    <col min="770" max="770" width="13.5703125" customWidth="1"/>
    <col min="771" max="771" width="11.7109375" customWidth="1"/>
    <col min="772" max="772" width="14" customWidth="1"/>
    <col min="773" max="773" width="16.28515625" customWidth="1"/>
    <col min="774" max="774" width="12.5703125" customWidth="1"/>
    <col min="775" max="775" width="13.28515625" customWidth="1"/>
    <col min="776" max="776" width="14.85546875" customWidth="1"/>
    <col min="777" max="777" width="18" customWidth="1"/>
    <col min="778" max="778" width="24" customWidth="1"/>
    <col min="1011" max="1011" width="7.42578125" customWidth="1"/>
    <col min="1012" max="1012" width="22.7109375" customWidth="1"/>
    <col min="1013" max="1013" width="14.42578125" customWidth="1"/>
    <col min="1014" max="1014" width="16.42578125" customWidth="1"/>
    <col min="1015" max="1015" width="8.140625" customWidth="1"/>
    <col min="1016" max="1016" width="10.85546875" customWidth="1"/>
    <col min="1017" max="1017" width="38.85546875" customWidth="1"/>
    <col min="1018" max="1018" width="25.5703125" customWidth="1"/>
    <col min="1022" max="1022" width="44.85546875" customWidth="1"/>
    <col min="1023" max="1023" width="14.42578125" customWidth="1"/>
    <col min="1024" max="1024" width="13.7109375" customWidth="1"/>
    <col min="1025" max="1025" width="13.85546875" customWidth="1"/>
    <col min="1026" max="1026" width="13.5703125" customWidth="1"/>
    <col min="1027" max="1027" width="11.7109375" customWidth="1"/>
    <col min="1028" max="1028" width="14" customWidth="1"/>
    <col min="1029" max="1029" width="16.28515625" customWidth="1"/>
    <col min="1030" max="1030" width="12.5703125" customWidth="1"/>
    <col min="1031" max="1031" width="13.28515625" customWidth="1"/>
    <col min="1032" max="1032" width="14.85546875" customWidth="1"/>
    <col min="1033" max="1033" width="18" customWidth="1"/>
    <col min="1034" max="1034" width="24" customWidth="1"/>
    <col min="1267" max="1267" width="7.42578125" customWidth="1"/>
    <col min="1268" max="1268" width="22.7109375" customWidth="1"/>
    <col min="1269" max="1269" width="14.42578125" customWidth="1"/>
    <col min="1270" max="1270" width="16.42578125" customWidth="1"/>
    <col min="1271" max="1271" width="8.140625" customWidth="1"/>
    <col min="1272" max="1272" width="10.85546875" customWidth="1"/>
    <col min="1273" max="1273" width="38.85546875" customWidth="1"/>
    <col min="1274" max="1274" width="25.5703125" customWidth="1"/>
    <col min="1278" max="1278" width="44.85546875" customWidth="1"/>
    <col min="1279" max="1279" width="14.42578125" customWidth="1"/>
    <col min="1280" max="1280" width="13.7109375" customWidth="1"/>
    <col min="1281" max="1281" width="13.85546875" customWidth="1"/>
    <col min="1282" max="1282" width="13.5703125" customWidth="1"/>
    <col min="1283" max="1283" width="11.7109375" customWidth="1"/>
    <col min="1284" max="1284" width="14" customWidth="1"/>
    <col min="1285" max="1285" width="16.28515625" customWidth="1"/>
    <col min="1286" max="1286" width="12.5703125" customWidth="1"/>
    <col min="1287" max="1287" width="13.28515625" customWidth="1"/>
    <col min="1288" max="1288" width="14.85546875" customWidth="1"/>
    <col min="1289" max="1289" width="18" customWidth="1"/>
    <col min="1290" max="1290" width="24" customWidth="1"/>
    <col min="1523" max="1523" width="7.42578125" customWidth="1"/>
    <col min="1524" max="1524" width="22.7109375" customWidth="1"/>
    <col min="1525" max="1525" width="14.42578125" customWidth="1"/>
    <col min="1526" max="1526" width="16.42578125" customWidth="1"/>
    <col min="1527" max="1527" width="8.140625" customWidth="1"/>
    <col min="1528" max="1528" width="10.85546875" customWidth="1"/>
    <col min="1529" max="1529" width="38.85546875" customWidth="1"/>
    <col min="1530" max="1530" width="25.5703125" customWidth="1"/>
    <col min="1534" max="1534" width="44.85546875" customWidth="1"/>
    <col min="1535" max="1535" width="14.42578125" customWidth="1"/>
    <col min="1536" max="1536" width="13.7109375" customWidth="1"/>
    <col min="1537" max="1537" width="13.85546875" customWidth="1"/>
    <col min="1538" max="1538" width="13.5703125" customWidth="1"/>
    <col min="1539" max="1539" width="11.7109375" customWidth="1"/>
    <col min="1540" max="1540" width="14" customWidth="1"/>
    <col min="1541" max="1541" width="16.28515625" customWidth="1"/>
    <col min="1542" max="1542" width="12.5703125" customWidth="1"/>
    <col min="1543" max="1543" width="13.28515625" customWidth="1"/>
    <col min="1544" max="1544" width="14.85546875" customWidth="1"/>
    <col min="1545" max="1545" width="18" customWidth="1"/>
    <col min="1546" max="1546" width="24" customWidth="1"/>
    <col min="1779" max="1779" width="7.42578125" customWidth="1"/>
    <col min="1780" max="1780" width="22.7109375" customWidth="1"/>
    <col min="1781" max="1781" width="14.42578125" customWidth="1"/>
    <col min="1782" max="1782" width="16.42578125" customWidth="1"/>
    <col min="1783" max="1783" width="8.140625" customWidth="1"/>
    <col min="1784" max="1784" width="10.85546875" customWidth="1"/>
    <col min="1785" max="1785" width="38.85546875" customWidth="1"/>
    <col min="1786" max="1786" width="25.5703125" customWidth="1"/>
    <col min="1790" max="1790" width="44.85546875" customWidth="1"/>
    <col min="1791" max="1791" width="14.42578125" customWidth="1"/>
    <col min="1792" max="1792" width="13.7109375" customWidth="1"/>
    <col min="1793" max="1793" width="13.85546875" customWidth="1"/>
    <col min="1794" max="1794" width="13.5703125" customWidth="1"/>
    <col min="1795" max="1795" width="11.7109375" customWidth="1"/>
    <col min="1796" max="1796" width="14" customWidth="1"/>
    <col min="1797" max="1797" width="16.28515625" customWidth="1"/>
    <col min="1798" max="1798" width="12.5703125" customWidth="1"/>
    <col min="1799" max="1799" width="13.28515625" customWidth="1"/>
    <col min="1800" max="1800" width="14.85546875" customWidth="1"/>
    <col min="1801" max="1801" width="18" customWidth="1"/>
    <col min="1802" max="1802" width="24" customWidth="1"/>
    <col min="2035" max="2035" width="7.42578125" customWidth="1"/>
    <col min="2036" max="2036" width="22.7109375" customWidth="1"/>
    <col min="2037" max="2037" width="14.42578125" customWidth="1"/>
    <col min="2038" max="2038" width="16.42578125" customWidth="1"/>
    <col min="2039" max="2039" width="8.140625" customWidth="1"/>
    <col min="2040" max="2040" width="10.85546875" customWidth="1"/>
    <col min="2041" max="2041" width="38.85546875" customWidth="1"/>
    <col min="2042" max="2042" width="25.5703125" customWidth="1"/>
    <col min="2046" max="2046" width="44.85546875" customWidth="1"/>
    <col min="2047" max="2047" width="14.42578125" customWidth="1"/>
    <col min="2048" max="2048" width="13.7109375" customWidth="1"/>
    <col min="2049" max="2049" width="13.85546875" customWidth="1"/>
    <col min="2050" max="2050" width="13.5703125" customWidth="1"/>
    <col min="2051" max="2051" width="11.7109375" customWidth="1"/>
    <col min="2052" max="2052" width="14" customWidth="1"/>
    <col min="2053" max="2053" width="16.28515625" customWidth="1"/>
    <col min="2054" max="2054" width="12.5703125" customWidth="1"/>
    <col min="2055" max="2055" width="13.28515625" customWidth="1"/>
    <col min="2056" max="2056" width="14.85546875" customWidth="1"/>
    <col min="2057" max="2057" width="18" customWidth="1"/>
    <col min="2058" max="2058" width="24" customWidth="1"/>
    <col min="2291" max="2291" width="7.42578125" customWidth="1"/>
    <col min="2292" max="2292" width="22.7109375" customWidth="1"/>
    <col min="2293" max="2293" width="14.42578125" customWidth="1"/>
    <col min="2294" max="2294" width="16.42578125" customWidth="1"/>
    <col min="2295" max="2295" width="8.140625" customWidth="1"/>
    <col min="2296" max="2296" width="10.85546875" customWidth="1"/>
    <col min="2297" max="2297" width="38.85546875" customWidth="1"/>
    <col min="2298" max="2298" width="25.5703125" customWidth="1"/>
    <col min="2302" max="2302" width="44.85546875" customWidth="1"/>
    <col min="2303" max="2303" width="14.42578125" customWidth="1"/>
    <col min="2304" max="2304" width="13.7109375" customWidth="1"/>
    <col min="2305" max="2305" width="13.85546875" customWidth="1"/>
    <col min="2306" max="2306" width="13.5703125" customWidth="1"/>
    <col min="2307" max="2307" width="11.7109375" customWidth="1"/>
    <col min="2308" max="2308" width="14" customWidth="1"/>
    <col min="2309" max="2309" width="16.28515625" customWidth="1"/>
    <col min="2310" max="2310" width="12.5703125" customWidth="1"/>
    <col min="2311" max="2311" width="13.28515625" customWidth="1"/>
    <col min="2312" max="2312" width="14.85546875" customWidth="1"/>
    <col min="2313" max="2313" width="18" customWidth="1"/>
    <col min="2314" max="2314" width="24" customWidth="1"/>
    <col min="2547" max="2547" width="7.42578125" customWidth="1"/>
    <col min="2548" max="2548" width="22.7109375" customWidth="1"/>
    <col min="2549" max="2549" width="14.42578125" customWidth="1"/>
    <col min="2550" max="2550" width="16.42578125" customWidth="1"/>
    <col min="2551" max="2551" width="8.140625" customWidth="1"/>
    <col min="2552" max="2552" width="10.85546875" customWidth="1"/>
    <col min="2553" max="2553" width="38.85546875" customWidth="1"/>
    <col min="2554" max="2554" width="25.5703125" customWidth="1"/>
    <col min="2558" max="2558" width="44.85546875" customWidth="1"/>
    <col min="2559" max="2559" width="14.42578125" customWidth="1"/>
    <col min="2560" max="2560" width="13.7109375" customWidth="1"/>
    <col min="2561" max="2561" width="13.85546875" customWidth="1"/>
    <col min="2562" max="2562" width="13.5703125" customWidth="1"/>
    <col min="2563" max="2563" width="11.7109375" customWidth="1"/>
    <col min="2564" max="2564" width="14" customWidth="1"/>
    <col min="2565" max="2565" width="16.28515625" customWidth="1"/>
    <col min="2566" max="2566" width="12.5703125" customWidth="1"/>
    <col min="2567" max="2567" width="13.28515625" customWidth="1"/>
    <col min="2568" max="2568" width="14.85546875" customWidth="1"/>
    <col min="2569" max="2569" width="18" customWidth="1"/>
    <col min="2570" max="2570" width="24" customWidth="1"/>
    <col min="2803" max="2803" width="7.42578125" customWidth="1"/>
    <col min="2804" max="2804" width="22.7109375" customWidth="1"/>
    <col min="2805" max="2805" width="14.42578125" customWidth="1"/>
    <col min="2806" max="2806" width="16.42578125" customWidth="1"/>
    <col min="2807" max="2807" width="8.140625" customWidth="1"/>
    <col min="2808" max="2808" width="10.85546875" customWidth="1"/>
    <col min="2809" max="2809" width="38.85546875" customWidth="1"/>
    <col min="2810" max="2810" width="25.5703125" customWidth="1"/>
    <col min="2814" max="2814" width="44.85546875" customWidth="1"/>
    <col min="2815" max="2815" width="14.42578125" customWidth="1"/>
    <col min="2816" max="2816" width="13.7109375" customWidth="1"/>
    <col min="2817" max="2817" width="13.85546875" customWidth="1"/>
    <col min="2818" max="2818" width="13.5703125" customWidth="1"/>
    <col min="2819" max="2819" width="11.7109375" customWidth="1"/>
    <col min="2820" max="2820" width="14" customWidth="1"/>
    <col min="2821" max="2821" width="16.28515625" customWidth="1"/>
    <col min="2822" max="2822" width="12.5703125" customWidth="1"/>
    <col min="2823" max="2823" width="13.28515625" customWidth="1"/>
    <col min="2824" max="2824" width="14.85546875" customWidth="1"/>
    <col min="2825" max="2825" width="18" customWidth="1"/>
    <col min="2826" max="2826" width="24" customWidth="1"/>
    <col min="3059" max="3059" width="7.42578125" customWidth="1"/>
    <col min="3060" max="3060" width="22.7109375" customWidth="1"/>
    <col min="3061" max="3061" width="14.42578125" customWidth="1"/>
    <col min="3062" max="3062" width="16.42578125" customWidth="1"/>
    <col min="3063" max="3063" width="8.140625" customWidth="1"/>
    <col min="3064" max="3064" width="10.85546875" customWidth="1"/>
    <col min="3065" max="3065" width="38.85546875" customWidth="1"/>
    <col min="3066" max="3066" width="25.5703125" customWidth="1"/>
    <col min="3070" max="3070" width="44.85546875" customWidth="1"/>
    <col min="3071" max="3071" width="14.42578125" customWidth="1"/>
    <col min="3072" max="3072" width="13.7109375" customWidth="1"/>
    <col min="3073" max="3073" width="13.85546875" customWidth="1"/>
    <col min="3074" max="3074" width="13.5703125" customWidth="1"/>
    <col min="3075" max="3075" width="11.7109375" customWidth="1"/>
    <col min="3076" max="3076" width="14" customWidth="1"/>
    <col min="3077" max="3077" width="16.28515625" customWidth="1"/>
    <col min="3078" max="3078" width="12.5703125" customWidth="1"/>
    <col min="3079" max="3079" width="13.28515625" customWidth="1"/>
    <col min="3080" max="3080" width="14.85546875" customWidth="1"/>
    <col min="3081" max="3081" width="18" customWidth="1"/>
    <col min="3082" max="3082" width="24" customWidth="1"/>
    <col min="3315" max="3315" width="7.42578125" customWidth="1"/>
    <col min="3316" max="3316" width="22.7109375" customWidth="1"/>
    <col min="3317" max="3317" width="14.42578125" customWidth="1"/>
    <col min="3318" max="3318" width="16.42578125" customWidth="1"/>
    <col min="3319" max="3319" width="8.140625" customWidth="1"/>
    <col min="3320" max="3320" width="10.85546875" customWidth="1"/>
    <col min="3321" max="3321" width="38.85546875" customWidth="1"/>
    <col min="3322" max="3322" width="25.5703125" customWidth="1"/>
    <col min="3326" max="3326" width="44.85546875" customWidth="1"/>
    <col min="3327" max="3327" width="14.42578125" customWidth="1"/>
    <col min="3328" max="3328" width="13.7109375" customWidth="1"/>
    <col min="3329" max="3329" width="13.85546875" customWidth="1"/>
    <col min="3330" max="3330" width="13.5703125" customWidth="1"/>
    <col min="3331" max="3331" width="11.7109375" customWidth="1"/>
    <col min="3332" max="3332" width="14" customWidth="1"/>
    <col min="3333" max="3333" width="16.28515625" customWidth="1"/>
    <col min="3334" max="3334" width="12.5703125" customWidth="1"/>
    <col min="3335" max="3335" width="13.28515625" customWidth="1"/>
    <col min="3336" max="3336" width="14.85546875" customWidth="1"/>
    <col min="3337" max="3337" width="18" customWidth="1"/>
    <col min="3338" max="3338" width="24" customWidth="1"/>
    <col min="3571" max="3571" width="7.42578125" customWidth="1"/>
    <col min="3572" max="3572" width="22.7109375" customWidth="1"/>
    <col min="3573" max="3573" width="14.42578125" customWidth="1"/>
    <col min="3574" max="3574" width="16.42578125" customWidth="1"/>
    <col min="3575" max="3575" width="8.140625" customWidth="1"/>
    <col min="3576" max="3576" width="10.85546875" customWidth="1"/>
    <col min="3577" max="3577" width="38.85546875" customWidth="1"/>
    <col min="3578" max="3578" width="25.5703125" customWidth="1"/>
    <col min="3582" max="3582" width="44.85546875" customWidth="1"/>
    <col min="3583" max="3583" width="14.42578125" customWidth="1"/>
    <col min="3584" max="3584" width="13.7109375" customWidth="1"/>
    <col min="3585" max="3585" width="13.85546875" customWidth="1"/>
    <col min="3586" max="3586" width="13.5703125" customWidth="1"/>
    <col min="3587" max="3587" width="11.7109375" customWidth="1"/>
    <col min="3588" max="3588" width="14" customWidth="1"/>
    <col min="3589" max="3589" width="16.28515625" customWidth="1"/>
    <col min="3590" max="3590" width="12.5703125" customWidth="1"/>
    <col min="3591" max="3591" width="13.28515625" customWidth="1"/>
    <col min="3592" max="3592" width="14.85546875" customWidth="1"/>
    <col min="3593" max="3593" width="18" customWidth="1"/>
    <col min="3594" max="3594" width="24" customWidth="1"/>
    <col min="3827" max="3827" width="7.42578125" customWidth="1"/>
    <col min="3828" max="3828" width="22.7109375" customWidth="1"/>
    <col min="3829" max="3829" width="14.42578125" customWidth="1"/>
    <col min="3830" max="3830" width="16.42578125" customWidth="1"/>
    <col min="3831" max="3831" width="8.140625" customWidth="1"/>
    <col min="3832" max="3832" width="10.85546875" customWidth="1"/>
    <col min="3833" max="3833" width="38.85546875" customWidth="1"/>
    <col min="3834" max="3834" width="25.5703125" customWidth="1"/>
    <col min="3838" max="3838" width="44.85546875" customWidth="1"/>
    <col min="3839" max="3839" width="14.42578125" customWidth="1"/>
    <col min="3840" max="3840" width="13.7109375" customWidth="1"/>
    <col min="3841" max="3841" width="13.85546875" customWidth="1"/>
    <col min="3842" max="3842" width="13.5703125" customWidth="1"/>
    <col min="3843" max="3843" width="11.7109375" customWidth="1"/>
    <col min="3844" max="3844" width="14" customWidth="1"/>
    <col min="3845" max="3845" width="16.28515625" customWidth="1"/>
    <col min="3846" max="3846" width="12.5703125" customWidth="1"/>
    <col min="3847" max="3847" width="13.28515625" customWidth="1"/>
    <col min="3848" max="3848" width="14.85546875" customWidth="1"/>
    <col min="3849" max="3849" width="18" customWidth="1"/>
    <col min="3850" max="3850" width="24" customWidth="1"/>
    <col min="4083" max="4083" width="7.42578125" customWidth="1"/>
    <col min="4084" max="4084" width="22.7109375" customWidth="1"/>
    <col min="4085" max="4085" width="14.42578125" customWidth="1"/>
    <col min="4086" max="4086" width="16.42578125" customWidth="1"/>
    <col min="4087" max="4087" width="8.140625" customWidth="1"/>
    <col min="4088" max="4088" width="10.85546875" customWidth="1"/>
    <col min="4089" max="4089" width="38.85546875" customWidth="1"/>
    <col min="4090" max="4090" width="25.5703125" customWidth="1"/>
    <col min="4094" max="4094" width="44.85546875" customWidth="1"/>
    <col min="4095" max="4095" width="14.42578125" customWidth="1"/>
    <col min="4096" max="4096" width="13.7109375" customWidth="1"/>
    <col min="4097" max="4097" width="13.85546875" customWidth="1"/>
    <col min="4098" max="4098" width="13.5703125" customWidth="1"/>
    <col min="4099" max="4099" width="11.7109375" customWidth="1"/>
    <col min="4100" max="4100" width="14" customWidth="1"/>
    <col min="4101" max="4101" width="16.28515625" customWidth="1"/>
    <col min="4102" max="4102" width="12.5703125" customWidth="1"/>
    <col min="4103" max="4103" width="13.28515625" customWidth="1"/>
    <col min="4104" max="4104" width="14.85546875" customWidth="1"/>
    <col min="4105" max="4105" width="18" customWidth="1"/>
    <col min="4106" max="4106" width="24" customWidth="1"/>
    <col min="4339" max="4339" width="7.42578125" customWidth="1"/>
    <col min="4340" max="4340" width="22.7109375" customWidth="1"/>
    <col min="4341" max="4341" width="14.42578125" customWidth="1"/>
    <col min="4342" max="4342" width="16.42578125" customWidth="1"/>
    <col min="4343" max="4343" width="8.140625" customWidth="1"/>
    <col min="4344" max="4344" width="10.85546875" customWidth="1"/>
    <col min="4345" max="4345" width="38.85546875" customWidth="1"/>
    <col min="4346" max="4346" width="25.5703125" customWidth="1"/>
    <col min="4350" max="4350" width="44.85546875" customWidth="1"/>
    <col min="4351" max="4351" width="14.42578125" customWidth="1"/>
    <col min="4352" max="4352" width="13.7109375" customWidth="1"/>
    <col min="4353" max="4353" width="13.85546875" customWidth="1"/>
    <col min="4354" max="4354" width="13.5703125" customWidth="1"/>
    <col min="4355" max="4355" width="11.7109375" customWidth="1"/>
    <col min="4356" max="4356" width="14" customWidth="1"/>
    <col min="4357" max="4357" width="16.28515625" customWidth="1"/>
    <col min="4358" max="4358" width="12.5703125" customWidth="1"/>
    <col min="4359" max="4359" width="13.28515625" customWidth="1"/>
    <col min="4360" max="4360" width="14.85546875" customWidth="1"/>
    <col min="4361" max="4361" width="18" customWidth="1"/>
    <col min="4362" max="4362" width="24" customWidth="1"/>
    <col min="4595" max="4595" width="7.42578125" customWidth="1"/>
    <col min="4596" max="4596" width="22.7109375" customWidth="1"/>
    <col min="4597" max="4597" width="14.42578125" customWidth="1"/>
    <col min="4598" max="4598" width="16.42578125" customWidth="1"/>
    <col min="4599" max="4599" width="8.140625" customWidth="1"/>
    <col min="4600" max="4600" width="10.85546875" customWidth="1"/>
    <col min="4601" max="4601" width="38.85546875" customWidth="1"/>
    <col min="4602" max="4602" width="25.5703125" customWidth="1"/>
    <col min="4606" max="4606" width="44.85546875" customWidth="1"/>
    <col min="4607" max="4607" width="14.42578125" customWidth="1"/>
    <col min="4608" max="4608" width="13.7109375" customWidth="1"/>
    <col min="4609" max="4609" width="13.85546875" customWidth="1"/>
    <col min="4610" max="4610" width="13.5703125" customWidth="1"/>
    <col min="4611" max="4611" width="11.7109375" customWidth="1"/>
    <col min="4612" max="4612" width="14" customWidth="1"/>
    <col min="4613" max="4613" width="16.28515625" customWidth="1"/>
    <col min="4614" max="4614" width="12.5703125" customWidth="1"/>
    <col min="4615" max="4615" width="13.28515625" customWidth="1"/>
    <col min="4616" max="4616" width="14.85546875" customWidth="1"/>
    <col min="4617" max="4617" width="18" customWidth="1"/>
    <col min="4618" max="4618" width="24" customWidth="1"/>
    <col min="4851" max="4851" width="7.42578125" customWidth="1"/>
    <col min="4852" max="4852" width="22.7109375" customWidth="1"/>
    <col min="4853" max="4853" width="14.42578125" customWidth="1"/>
    <col min="4854" max="4854" width="16.42578125" customWidth="1"/>
    <col min="4855" max="4855" width="8.140625" customWidth="1"/>
    <col min="4856" max="4856" width="10.85546875" customWidth="1"/>
    <col min="4857" max="4857" width="38.85546875" customWidth="1"/>
    <col min="4858" max="4858" width="25.5703125" customWidth="1"/>
    <col min="4862" max="4862" width="44.85546875" customWidth="1"/>
    <col min="4863" max="4863" width="14.42578125" customWidth="1"/>
    <col min="4864" max="4864" width="13.7109375" customWidth="1"/>
    <col min="4865" max="4865" width="13.85546875" customWidth="1"/>
    <col min="4866" max="4866" width="13.5703125" customWidth="1"/>
    <col min="4867" max="4867" width="11.7109375" customWidth="1"/>
    <col min="4868" max="4868" width="14" customWidth="1"/>
    <col min="4869" max="4869" width="16.28515625" customWidth="1"/>
    <col min="4870" max="4870" width="12.5703125" customWidth="1"/>
    <col min="4871" max="4871" width="13.28515625" customWidth="1"/>
    <col min="4872" max="4872" width="14.85546875" customWidth="1"/>
    <col min="4873" max="4873" width="18" customWidth="1"/>
    <col min="4874" max="4874" width="24" customWidth="1"/>
    <col min="5107" max="5107" width="7.42578125" customWidth="1"/>
    <col min="5108" max="5108" width="22.7109375" customWidth="1"/>
    <col min="5109" max="5109" width="14.42578125" customWidth="1"/>
    <col min="5110" max="5110" width="16.42578125" customWidth="1"/>
    <col min="5111" max="5111" width="8.140625" customWidth="1"/>
    <col min="5112" max="5112" width="10.85546875" customWidth="1"/>
    <col min="5113" max="5113" width="38.85546875" customWidth="1"/>
    <col min="5114" max="5114" width="25.5703125" customWidth="1"/>
    <col min="5118" max="5118" width="44.85546875" customWidth="1"/>
    <col min="5119" max="5119" width="14.42578125" customWidth="1"/>
    <col min="5120" max="5120" width="13.7109375" customWidth="1"/>
    <col min="5121" max="5121" width="13.85546875" customWidth="1"/>
    <col min="5122" max="5122" width="13.5703125" customWidth="1"/>
    <col min="5123" max="5123" width="11.7109375" customWidth="1"/>
    <col min="5124" max="5124" width="14" customWidth="1"/>
    <col min="5125" max="5125" width="16.28515625" customWidth="1"/>
    <col min="5126" max="5126" width="12.5703125" customWidth="1"/>
    <col min="5127" max="5127" width="13.28515625" customWidth="1"/>
    <col min="5128" max="5128" width="14.85546875" customWidth="1"/>
    <col min="5129" max="5129" width="18" customWidth="1"/>
    <col min="5130" max="5130" width="24" customWidth="1"/>
    <col min="5363" max="5363" width="7.42578125" customWidth="1"/>
    <col min="5364" max="5364" width="22.7109375" customWidth="1"/>
    <col min="5365" max="5365" width="14.42578125" customWidth="1"/>
    <col min="5366" max="5366" width="16.42578125" customWidth="1"/>
    <col min="5367" max="5367" width="8.140625" customWidth="1"/>
    <col min="5368" max="5368" width="10.85546875" customWidth="1"/>
    <col min="5369" max="5369" width="38.85546875" customWidth="1"/>
    <col min="5370" max="5370" width="25.5703125" customWidth="1"/>
    <col min="5374" max="5374" width="44.85546875" customWidth="1"/>
    <col min="5375" max="5375" width="14.42578125" customWidth="1"/>
    <col min="5376" max="5376" width="13.7109375" customWidth="1"/>
    <col min="5377" max="5377" width="13.85546875" customWidth="1"/>
    <col min="5378" max="5378" width="13.5703125" customWidth="1"/>
    <col min="5379" max="5379" width="11.7109375" customWidth="1"/>
    <col min="5380" max="5380" width="14" customWidth="1"/>
    <col min="5381" max="5381" width="16.28515625" customWidth="1"/>
    <col min="5382" max="5382" width="12.5703125" customWidth="1"/>
    <col min="5383" max="5383" width="13.28515625" customWidth="1"/>
    <col min="5384" max="5384" width="14.85546875" customWidth="1"/>
    <col min="5385" max="5385" width="18" customWidth="1"/>
    <col min="5386" max="5386" width="24" customWidth="1"/>
    <col min="5619" max="5619" width="7.42578125" customWidth="1"/>
    <col min="5620" max="5620" width="22.7109375" customWidth="1"/>
    <col min="5621" max="5621" width="14.42578125" customWidth="1"/>
    <col min="5622" max="5622" width="16.42578125" customWidth="1"/>
    <col min="5623" max="5623" width="8.140625" customWidth="1"/>
    <col min="5624" max="5624" width="10.85546875" customWidth="1"/>
    <col min="5625" max="5625" width="38.85546875" customWidth="1"/>
    <col min="5626" max="5626" width="25.5703125" customWidth="1"/>
    <col min="5630" max="5630" width="44.85546875" customWidth="1"/>
    <col min="5631" max="5631" width="14.42578125" customWidth="1"/>
    <col min="5632" max="5632" width="13.7109375" customWidth="1"/>
    <col min="5633" max="5633" width="13.85546875" customWidth="1"/>
    <col min="5634" max="5634" width="13.5703125" customWidth="1"/>
    <col min="5635" max="5635" width="11.7109375" customWidth="1"/>
    <col min="5636" max="5636" width="14" customWidth="1"/>
    <col min="5637" max="5637" width="16.28515625" customWidth="1"/>
    <col min="5638" max="5638" width="12.5703125" customWidth="1"/>
    <col min="5639" max="5639" width="13.28515625" customWidth="1"/>
    <col min="5640" max="5640" width="14.85546875" customWidth="1"/>
    <col min="5641" max="5641" width="18" customWidth="1"/>
    <col min="5642" max="5642" width="24" customWidth="1"/>
    <col min="5875" max="5875" width="7.42578125" customWidth="1"/>
    <col min="5876" max="5876" width="22.7109375" customWidth="1"/>
    <col min="5877" max="5877" width="14.42578125" customWidth="1"/>
    <col min="5878" max="5878" width="16.42578125" customWidth="1"/>
    <col min="5879" max="5879" width="8.140625" customWidth="1"/>
    <col min="5880" max="5880" width="10.85546875" customWidth="1"/>
    <col min="5881" max="5881" width="38.85546875" customWidth="1"/>
    <col min="5882" max="5882" width="25.5703125" customWidth="1"/>
    <col min="5886" max="5886" width="44.85546875" customWidth="1"/>
    <col min="5887" max="5887" width="14.42578125" customWidth="1"/>
    <col min="5888" max="5888" width="13.7109375" customWidth="1"/>
    <col min="5889" max="5889" width="13.85546875" customWidth="1"/>
    <col min="5890" max="5890" width="13.5703125" customWidth="1"/>
    <col min="5891" max="5891" width="11.7109375" customWidth="1"/>
    <col min="5892" max="5892" width="14" customWidth="1"/>
    <col min="5893" max="5893" width="16.28515625" customWidth="1"/>
    <col min="5894" max="5894" width="12.5703125" customWidth="1"/>
    <col min="5895" max="5895" width="13.28515625" customWidth="1"/>
    <col min="5896" max="5896" width="14.85546875" customWidth="1"/>
    <col min="5897" max="5897" width="18" customWidth="1"/>
    <col min="5898" max="5898" width="24" customWidth="1"/>
    <col min="6131" max="6131" width="7.42578125" customWidth="1"/>
    <col min="6132" max="6132" width="22.7109375" customWidth="1"/>
    <col min="6133" max="6133" width="14.42578125" customWidth="1"/>
    <col min="6134" max="6134" width="16.42578125" customWidth="1"/>
    <col min="6135" max="6135" width="8.140625" customWidth="1"/>
    <col min="6136" max="6136" width="10.85546875" customWidth="1"/>
    <col min="6137" max="6137" width="38.85546875" customWidth="1"/>
    <col min="6138" max="6138" width="25.5703125" customWidth="1"/>
    <col min="6142" max="6142" width="44.85546875" customWidth="1"/>
    <col min="6143" max="6143" width="14.42578125" customWidth="1"/>
    <col min="6144" max="6144" width="13.7109375" customWidth="1"/>
    <col min="6145" max="6145" width="13.85546875" customWidth="1"/>
    <col min="6146" max="6146" width="13.5703125" customWidth="1"/>
    <col min="6147" max="6147" width="11.7109375" customWidth="1"/>
    <col min="6148" max="6148" width="14" customWidth="1"/>
    <col min="6149" max="6149" width="16.28515625" customWidth="1"/>
    <col min="6150" max="6150" width="12.5703125" customWidth="1"/>
    <col min="6151" max="6151" width="13.28515625" customWidth="1"/>
    <col min="6152" max="6152" width="14.85546875" customWidth="1"/>
    <col min="6153" max="6153" width="18" customWidth="1"/>
    <col min="6154" max="6154" width="24" customWidth="1"/>
    <col min="6387" max="6387" width="7.42578125" customWidth="1"/>
    <col min="6388" max="6388" width="22.7109375" customWidth="1"/>
    <col min="6389" max="6389" width="14.42578125" customWidth="1"/>
    <col min="6390" max="6390" width="16.42578125" customWidth="1"/>
    <col min="6391" max="6391" width="8.140625" customWidth="1"/>
    <col min="6392" max="6392" width="10.85546875" customWidth="1"/>
    <col min="6393" max="6393" width="38.85546875" customWidth="1"/>
    <col min="6394" max="6394" width="25.5703125" customWidth="1"/>
    <col min="6398" max="6398" width="44.85546875" customWidth="1"/>
    <col min="6399" max="6399" width="14.42578125" customWidth="1"/>
    <col min="6400" max="6400" width="13.7109375" customWidth="1"/>
    <col min="6401" max="6401" width="13.85546875" customWidth="1"/>
    <col min="6402" max="6402" width="13.5703125" customWidth="1"/>
    <col min="6403" max="6403" width="11.7109375" customWidth="1"/>
    <col min="6404" max="6404" width="14" customWidth="1"/>
    <col min="6405" max="6405" width="16.28515625" customWidth="1"/>
    <col min="6406" max="6406" width="12.5703125" customWidth="1"/>
    <col min="6407" max="6407" width="13.28515625" customWidth="1"/>
    <col min="6408" max="6408" width="14.85546875" customWidth="1"/>
    <col min="6409" max="6409" width="18" customWidth="1"/>
    <col min="6410" max="6410" width="24" customWidth="1"/>
    <col min="6643" max="6643" width="7.42578125" customWidth="1"/>
    <col min="6644" max="6644" width="22.7109375" customWidth="1"/>
    <col min="6645" max="6645" width="14.42578125" customWidth="1"/>
    <col min="6646" max="6646" width="16.42578125" customWidth="1"/>
    <col min="6647" max="6647" width="8.140625" customWidth="1"/>
    <col min="6648" max="6648" width="10.85546875" customWidth="1"/>
    <col min="6649" max="6649" width="38.85546875" customWidth="1"/>
    <col min="6650" max="6650" width="25.5703125" customWidth="1"/>
    <col min="6654" max="6654" width="44.85546875" customWidth="1"/>
    <col min="6655" max="6655" width="14.42578125" customWidth="1"/>
    <col min="6656" max="6656" width="13.7109375" customWidth="1"/>
    <col min="6657" max="6657" width="13.85546875" customWidth="1"/>
    <col min="6658" max="6658" width="13.5703125" customWidth="1"/>
    <col min="6659" max="6659" width="11.7109375" customWidth="1"/>
    <col min="6660" max="6660" width="14" customWidth="1"/>
    <col min="6661" max="6661" width="16.28515625" customWidth="1"/>
    <col min="6662" max="6662" width="12.5703125" customWidth="1"/>
    <col min="6663" max="6663" width="13.28515625" customWidth="1"/>
    <col min="6664" max="6664" width="14.85546875" customWidth="1"/>
    <col min="6665" max="6665" width="18" customWidth="1"/>
    <col min="6666" max="6666" width="24" customWidth="1"/>
    <col min="6899" max="6899" width="7.42578125" customWidth="1"/>
    <col min="6900" max="6900" width="22.7109375" customWidth="1"/>
    <col min="6901" max="6901" width="14.42578125" customWidth="1"/>
    <col min="6902" max="6902" width="16.42578125" customWidth="1"/>
    <col min="6903" max="6903" width="8.140625" customWidth="1"/>
    <col min="6904" max="6904" width="10.85546875" customWidth="1"/>
    <col min="6905" max="6905" width="38.85546875" customWidth="1"/>
    <col min="6906" max="6906" width="25.5703125" customWidth="1"/>
    <col min="6910" max="6910" width="44.85546875" customWidth="1"/>
    <col min="6911" max="6911" width="14.42578125" customWidth="1"/>
    <col min="6912" max="6912" width="13.7109375" customWidth="1"/>
    <col min="6913" max="6913" width="13.85546875" customWidth="1"/>
    <col min="6914" max="6914" width="13.5703125" customWidth="1"/>
    <col min="6915" max="6915" width="11.7109375" customWidth="1"/>
    <col min="6916" max="6916" width="14" customWidth="1"/>
    <col min="6917" max="6917" width="16.28515625" customWidth="1"/>
    <col min="6918" max="6918" width="12.5703125" customWidth="1"/>
    <col min="6919" max="6919" width="13.28515625" customWidth="1"/>
    <col min="6920" max="6920" width="14.85546875" customWidth="1"/>
    <col min="6921" max="6921" width="18" customWidth="1"/>
    <col min="6922" max="6922" width="24" customWidth="1"/>
    <col min="7155" max="7155" width="7.42578125" customWidth="1"/>
    <col min="7156" max="7156" width="22.7109375" customWidth="1"/>
    <col min="7157" max="7157" width="14.42578125" customWidth="1"/>
    <col min="7158" max="7158" width="16.42578125" customWidth="1"/>
    <col min="7159" max="7159" width="8.140625" customWidth="1"/>
    <col min="7160" max="7160" width="10.85546875" customWidth="1"/>
    <col min="7161" max="7161" width="38.85546875" customWidth="1"/>
    <col min="7162" max="7162" width="25.5703125" customWidth="1"/>
    <col min="7166" max="7166" width="44.85546875" customWidth="1"/>
    <col min="7167" max="7167" width="14.42578125" customWidth="1"/>
    <col min="7168" max="7168" width="13.7109375" customWidth="1"/>
    <col min="7169" max="7169" width="13.85546875" customWidth="1"/>
    <col min="7170" max="7170" width="13.5703125" customWidth="1"/>
    <col min="7171" max="7171" width="11.7109375" customWidth="1"/>
    <col min="7172" max="7172" width="14" customWidth="1"/>
    <col min="7173" max="7173" width="16.28515625" customWidth="1"/>
    <col min="7174" max="7174" width="12.5703125" customWidth="1"/>
    <col min="7175" max="7175" width="13.28515625" customWidth="1"/>
    <col min="7176" max="7176" width="14.85546875" customWidth="1"/>
    <col min="7177" max="7177" width="18" customWidth="1"/>
    <col min="7178" max="7178" width="24" customWidth="1"/>
    <col min="7411" max="7411" width="7.42578125" customWidth="1"/>
    <col min="7412" max="7412" width="22.7109375" customWidth="1"/>
    <col min="7413" max="7413" width="14.42578125" customWidth="1"/>
    <col min="7414" max="7414" width="16.42578125" customWidth="1"/>
    <col min="7415" max="7415" width="8.140625" customWidth="1"/>
    <col min="7416" max="7416" width="10.85546875" customWidth="1"/>
    <col min="7417" max="7417" width="38.85546875" customWidth="1"/>
    <col min="7418" max="7418" width="25.5703125" customWidth="1"/>
    <col min="7422" max="7422" width="44.85546875" customWidth="1"/>
    <col min="7423" max="7423" width="14.42578125" customWidth="1"/>
    <col min="7424" max="7424" width="13.7109375" customWidth="1"/>
    <col min="7425" max="7425" width="13.85546875" customWidth="1"/>
    <col min="7426" max="7426" width="13.5703125" customWidth="1"/>
    <col min="7427" max="7427" width="11.7109375" customWidth="1"/>
    <col min="7428" max="7428" width="14" customWidth="1"/>
    <col min="7429" max="7429" width="16.28515625" customWidth="1"/>
    <col min="7430" max="7430" width="12.5703125" customWidth="1"/>
    <col min="7431" max="7431" width="13.28515625" customWidth="1"/>
    <col min="7432" max="7432" width="14.85546875" customWidth="1"/>
    <col min="7433" max="7433" width="18" customWidth="1"/>
    <col min="7434" max="7434" width="24" customWidth="1"/>
    <col min="7667" max="7667" width="7.42578125" customWidth="1"/>
    <col min="7668" max="7668" width="22.7109375" customWidth="1"/>
    <col min="7669" max="7669" width="14.42578125" customWidth="1"/>
    <col min="7670" max="7670" width="16.42578125" customWidth="1"/>
    <col min="7671" max="7671" width="8.140625" customWidth="1"/>
    <col min="7672" max="7672" width="10.85546875" customWidth="1"/>
    <col min="7673" max="7673" width="38.85546875" customWidth="1"/>
    <col min="7674" max="7674" width="25.5703125" customWidth="1"/>
    <col min="7678" max="7678" width="44.85546875" customWidth="1"/>
    <col min="7679" max="7679" width="14.42578125" customWidth="1"/>
    <col min="7680" max="7680" width="13.7109375" customWidth="1"/>
    <col min="7681" max="7681" width="13.85546875" customWidth="1"/>
    <col min="7682" max="7682" width="13.5703125" customWidth="1"/>
    <col min="7683" max="7683" width="11.7109375" customWidth="1"/>
    <col min="7684" max="7684" width="14" customWidth="1"/>
    <col min="7685" max="7685" width="16.28515625" customWidth="1"/>
    <col min="7686" max="7686" width="12.5703125" customWidth="1"/>
    <col min="7687" max="7687" width="13.28515625" customWidth="1"/>
    <col min="7688" max="7688" width="14.85546875" customWidth="1"/>
    <col min="7689" max="7689" width="18" customWidth="1"/>
    <col min="7690" max="7690" width="24" customWidth="1"/>
    <col min="7923" max="7923" width="7.42578125" customWidth="1"/>
    <col min="7924" max="7924" width="22.7109375" customWidth="1"/>
    <col min="7925" max="7925" width="14.42578125" customWidth="1"/>
    <col min="7926" max="7926" width="16.42578125" customWidth="1"/>
    <col min="7927" max="7927" width="8.140625" customWidth="1"/>
    <col min="7928" max="7928" width="10.85546875" customWidth="1"/>
    <col min="7929" max="7929" width="38.85546875" customWidth="1"/>
    <col min="7930" max="7930" width="25.5703125" customWidth="1"/>
    <col min="7934" max="7934" width="44.85546875" customWidth="1"/>
    <col min="7935" max="7935" width="14.42578125" customWidth="1"/>
    <col min="7936" max="7936" width="13.7109375" customWidth="1"/>
    <col min="7937" max="7937" width="13.85546875" customWidth="1"/>
    <col min="7938" max="7938" width="13.5703125" customWidth="1"/>
    <col min="7939" max="7939" width="11.7109375" customWidth="1"/>
    <col min="7940" max="7940" width="14" customWidth="1"/>
    <col min="7941" max="7941" width="16.28515625" customWidth="1"/>
    <col min="7942" max="7942" width="12.5703125" customWidth="1"/>
    <col min="7943" max="7943" width="13.28515625" customWidth="1"/>
    <col min="7944" max="7944" width="14.85546875" customWidth="1"/>
    <col min="7945" max="7945" width="18" customWidth="1"/>
    <col min="7946" max="7946" width="24" customWidth="1"/>
    <col min="8179" max="8179" width="7.42578125" customWidth="1"/>
    <col min="8180" max="8180" width="22.7109375" customWidth="1"/>
    <col min="8181" max="8181" width="14.42578125" customWidth="1"/>
    <col min="8182" max="8182" width="16.42578125" customWidth="1"/>
    <col min="8183" max="8183" width="8.140625" customWidth="1"/>
    <col min="8184" max="8184" width="10.85546875" customWidth="1"/>
    <col min="8185" max="8185" width="38.85546875" customWidth="1"/>
    <col min="8186" max="8186" width="25.5703125" customWidth="1"/>
    <col min="8190" max="8190" width="44.85546875" customWidth="1"/>
    <col min="8191" max="8191" width="14.42578125" customWidth="1"/>
    <col min="8192" max="8192" width="13.7109375" customWidth="1"/>
    <col min="8193" max="8193" width="13.85546875" customWidth="1"/>
    <col min="8194" max="8194" width="13.5703125" customWidth="1"/>
    <col min="8195" max="8195" width="11.7109375" customWidth="1"/>
    <col min="8196" max="8196" width="14" customWidth="1"/>
    <col min="8197" max="8197" width="16.28515625" customWidth="1"/>
    <col min="8198" max="8198" width="12.5703125" customWidth="1"/>
    <col min="8199" max="8199" width="13.28515625" customWidth="1"/>
    <col min="8200" max="8200" width="14.85546875" customWidth="1"/>
    <col min="8201" max="8201" width="18" customWidth="1"/>
    <col min="8202" max="8202" width="24" customWidth="1"/>
    <col min="8435" max="8435" width="7.42578125" customWidth="1"/>
    <col min="8436" max="8436" width="22.7109375" customWidth="1"/>
    <col min="8437" max="8437" width="14.42578125" customWidth="1"/>
    <col min="8438" max="8438" width="16.42578125" customWidth="1"/>
    <col min="8439" max="8439" width="8.140625" customWidth="1"/>
    <col min="8440" max="8440" width="10.85546875" customWidth="1"/>
    <col min="8441" max="8441" width="38.85546875" customWidth="1"/>
    <col min="8442" max="8442" width="25.5703125" customWidth="1"/>
    <col min="8446" max="8446" width="44.85546875" customWidth="1"/>
    <col min="8447" max="8447" width="14.42578125" customWidth="1"/>
    <col min="8448" max="8448" width="13.7109375" customWidth="1"/>
    <col min="8449" max="8449" width="13.85546875" customWidth="1"/>
    <col min="8450" max="8450" width="13.5703125" customWidth="1"/>
    <col min="8451" max="8451" width="11.7109375" customWidth="1"/>
    <col min="8452" max="8452" width="14" customWidth="1"/>
    <col min="8453" max="8453" width="16.28515625" customWidth="1"/>
    <col min="8454" max="8454" width="12.5703125" customWidth="1"/>
    <col min="8455" max="8455" width="13.28515625" customWidth="1"/>
    <col min="8456" max="8456" width="14.85546875" customWidth="1"/>
    <col min="8457" max="8457" width="18" customWidth="1"/>
    <col min="8458" max="8458" width="24" customWidth="1"/>
    <col min="8691" max="8691" width="7.42578125" customWidth="1"/>
    <col min="8692" max="8692" width="22.7109375" customWidth="1"/>
    <col min="8693" max="8693" width="14.42578125" customWidth="1"/>
    <col min="8694" max="8694" width="16.42578125" customWidth="1"/>
    <col min="8695" max="8695" width="8.140625" customWidth="1"/>
    <col min="8696" max="8696" width="10.85546875" customWidth="1"/>
    <col min="8697" max="8697" width="38.85546875" customWidth="1"/>
    <col min="8698" max="8698" width="25.5703125" customWidth="1"/>
    <col min="8702" max="8702" width="44.85546875" customWidth="1"/>
    <col min="8703" max="8703" width="14.42578125" customWidth="1"/>
    <col min="8704" max="8704" width="13.7109375" customWidth="1"/>
    <col min="8705" max="8705" width="13.85546875" customWidth="1"/>
    <col min="8706" max="8706" width="13.5703125" customWidth="1"/>
    <col min="8707" max="8707" width="11.7109375" customWidth="1"/>
    <col min="8708" max="8708" width="14" customWidth="1"/>
    <col min="8709" max="8709" width="16.28515625" customWidth="1"/>
    <col min="8710" max="8710" width="12.5703125" customWidth="1"/>
    <col min="8711" max="8711" width="13.28515625" customWidth="1"/>
    <col min="8712" max="8712" width="14.85546875" customWidth="1"/>
    <col min="8713" max="8713" width="18" customWidth="1"/>
    <col min="8714" max="8714" width="24" customWidth="1"/>
    <col min="8947" max="8947" width="7.42578125" customWidth="1"/>
    <col min="8948" max="8948" width="22.7109375" customWidth="1"/>
    <col min="8949" max="8949" width="14.42578125" customWidth="1"/>
    <col min="8950" max="8950" width="16.42578125" customWidth="1"/>
    <col min="8951" max="8951" width="8.140625" customWidth="1"/>
    <col min="8952" max="8952" width="10.85546875" customWidth="1"/>
    <col min="8953" max="8953" width="38.85546875" customWidth="1"/>
    <col min="8954" max="8954" width="25.5703125" customWidth="1"/>
    <col min="8958" max="8958" width="44.85546875" customWidth="1"/>
    <col min="8959" max="8959" width="14.42578125" customWidth="1"/>
    <col min="8960" max="8960" width="13.7109375" customWidth="1"/>
    <col min="8961" max="8961" width="13.85546875" customWidth="1"/>
    <col min="8962" max="8962" width="13.5703125" customWidth="1"/>
    <col min="8963" max="8963" width="11.7109375" customWidth="1"/>
    <col min="8964" max="8964" width="14" customWidth="1"/>
    <col min="8965" max="8965" width="16.28515625" customWidth="1"/>
    <col min="8966" max="8966" width="12.5703125" customWidth="1"/>
    <col min="8967" max="8967" width="13.28515625" customWidth="1"/>
    <col min="8968" max="8968" width="14.85546875" customWidth="1"/>
    <col min="8969" max="8969" width="18" customWidth="1"/>
    <col min="8970" max="8970" width="24" customWidth="1"/>
    <col min="9203" max="9203" width="7.42578125" customWidth="1"/>
    <col min="9204" max="9204" width="22.7109375" customWidth="1"/>
    <col min="9205" max="9205" width="14.42578125" customWidth="1"/>
    <col min="9206" max="9206" width="16.42578125" customWidth="1"/>
    <col min="9207" max="9207" width="8.140625" customWidth="1"/>
    <col min="9208" max="9208" width="10.85546875" customWidth="1"/>
    <col min="9209" max="9209" width="38.85546875" customWidth="1"/>
    <col min="9210" max="9210" width="25.5703125" customWidth="1"/>
    <col min="9214" max="9214" width="44.85546875" customWidth="1"/>
    <col min="9215" max="9215" width="14.42578125" customWidth="1"/>
    <col min="9216" max="9216" width="13.7109375" customWidth="1"/>
    <col min="9217" max="9217" width="13.85546875" customWidth="1"/>
    <col min="9218" max="9218" width="13.5703125" customWidth="1"/>
    <col min="9219" max="9219" width="11.7109375" customWidth="1"/>
    <col min="9220" max="9220" width="14" customWidth="1"/>
    <col min="9221" max="9221" width="16.28515625" customWidth="1"/>
    <col min="9222" max="9222" width="12.5703125" customWidth="1"/>
    <col min="9223" max="9223" width="13.28515625" customWidth="1"/>
    <col min="9224" max="9224" width="14.85546875" customWidth="1"/>
    <col min="9225" max="9225" width="18" customWidth="1"/>
    <col min="9226" max="9226" width="24" customWidth="1"/>
    <col min="9459" max="9459" width="7.42578125" customWidth="1"/>
    <col min="9460" max="9460" width="22.7109375" customWidth="1"/>
    <col min="9461" max="9461" width="14.42578125" customWidth="1"/>
    <col min="9462" max="9462" width="16.42578125" customWidth="1"/>
    <col min="9463" max="9463" width="8.140625" customWidth="1"/>
    <col min="9464" max="9464" width="10.85546875" customWidth="1"/>
    <col min="9465" max="9465" width="38.85546875" customWidth="1"/>
    <col min="9466" max="9466" width="25.5703125" customWidth="1"/>
    <col min="9470" max="9470" width="44.85546875" customWidth="1"/>
    <col min="9471" max="9471" width="14.42578125" customWidth="1"/>
    <col min="9472" max="9472" width="13.7109375" customWidth="1"/>
    <col min="9473" max="9473" width="13.85546875" customWidth="1"/>
    <col min="9474" max="9474" width="13.5703125" customWidth="1"/>
    <col min="9475" max="9475" width="11.7109375" customWidth="1"/>
    <col min="9476" max="9476" width="14" customWidth="1"/>
    <col min="9477" max="9477" width="16.28515625" customWidth="1"/>
    <col min="9478" max="9478" width="12.5703125" customWidth="1"/>
    <col min="9479" max="9479" width="13.28515625" customWidth="1"/>
    <col min="9480" max="9480" width="14.85546875" customWidth="1"/>
    <col min="9481" max="9481" width="18" customWidth="1"/>
    <col min="9482" max="9482" width="24" customWidth="1"/>
    <col min="9715" max="9715" width="7.42578125" customWidth="1"/>
    <col min="9716" max="9716" width="22.7109375" customWidth="1"/>
    <col min="9717" max="9717" width="14.42578125" customWidth="1"/>
    <col min="9718" max="9718" width="16.42578125" customWidth="1"/>
    <col min="9719" max="9719" width="8.140625" customWidth="1"/>
    <col min="9720" max="9720" width="10.85546875" customWidth="1"/>
    <col min="9721" max="9721" width="38.85546875" customWidth="1"/>
    <col min="9722" max="9722" width="25.5703125" customWidth="1"/>
    <col min="9726" max="9726" width="44.85546875" customWidth="1"/>
    <col min="9727" max="9727" width="14.42578125" customWidth="1"/>
    <col min="9728" max="9728" width="13.7109375" customWidth="1"/>
    <col min="9729" max="9729" width="13.85546875" customWidth="1"/>
    <col min="9730" max="9730" width="13.5703125" customWidth="1"/>
    <col min="9731" max="9731" width="11.7109375" customWidth="1"/>
    <col min="9732" max="9732" width="14" customWidth="1"/>
    <col min="9733" max="9733" width="16.28515625" customWidth="1"/>
    <col min="9734" max="9734" width="12.5703125" customWidth="1"/>
    <col min="9735" max="9735" width="13.28515625" customWidth="1"/>
    <col min="9736" max="9736" width="14.85546875" customWidth="1"/>
    <col min="9737" max="9737" width="18" customWidth="1"/>
    <col min="9738" max="9738" width="24" customWidth="1"/>
    <col min="9971" max="9971" width="7.42578125" customWidth="1"/>
    <col min="9972" max="9972" width="22.7109375" customWidth="1"/>
    <col min="9973" max="9973" width="14.42578125" customWidth="1"/>
    <col min="9974" max="9974" width="16.42578125" customWidth="1"/>
    <col min="9975" max="9975" width="8.140625" customWidth="1"/>
    <col min="9976" max="9976" width="10.85546875" customWidth="1"/>
    <col min="9977" max="9977" width="38.85546875" customWidth="1"/>
    <col min="9978" max="9978" width="25.5703125" customWidth="1"/>
    <col min="9982" max="9982" width="44.85546875" customWidth="1"/>
    <col min="9983" max="9983" width="14.42578125" customWidth="1"/>
    <col min="9984" max="9984" width="13.7109375" customWidth="1"/>
    <col min="9985" max="9985" width="13.85546875" customWidth="1"/>
    <col min="9986" max="9986" width="13.5703125" customWidth="1"/>
    <col min="9987" max="9987" width="11.7109375" customWidth="1"/>
    <col min="9988" max="9988" width="14" customWidth="1"/>
    <col min="9989" max="9989" width="16.28515625" customWidth="1"/>
    <col min="9990" max="9990" width="12.5703125" customWidth="1"/>
    <col min="9991" max="9991" width="13.28515625" customWidth="1"/>
    <col min="9992" max="9992" width="14.85546875" customWidth="1"/>
    <col min="9993" max="9993" width="18" customWidth="1"/>
    <col min="9994" max="9994" width="24" customWidth="1"/>
    <col min="10227" max="10227" width="7.42578125" customWidth="1"/>
    <col min="10228" max="10228" width="22.7109375" customWidth="1"/>
    <col min="10229" max="10229" width="14.42578125" customWidth="1"/>
    <col min="10230" max="10230" width="16.42578125" customWidth="1"/>
    <col min="10231" max="10231" width="8.140625" customWidth="1"/>
    <col min="10232" max="10232" width="10.85546875" customWidth="1"/>
    <col min="10233" max="10233" width="38.85546875" customWidth="1"/>
    <col min="10234" max="10234" width="25.5703125" customWidth="1"/>
    <col min="10238" max="10238" width="44.85546875" customWidth="1"/>
    <col min="10239" max="10239" width="14.42578125" customWidth="1"/>
    <col min="10240" max="10240" width="13.7109375" customWidth="1"/>
    <col min="10241" max="10241" width="13.85546875" customWidth="1"/>
    <col min="10242" max="10242" width="13.5703125" customWidth="1"/>
    <col min="10243" max="10243" width="11.7109375" customWidth="1"/>
    <col min="10244" max="10244" width="14" customWidth="1"/>
    <col min="10245" max="10245" width="16.28515625" customWidth="1"/>
    <col min="10246" max="10246" width="12.5703125" customWidth="1"/>
    <col min="10247" max="10247" width="13.28515625" customWidth="1"/>
    <col min="10248" max="10248" width="14.85546875" customWidth="1"/>
    <col min="10249" max="10249" width="18" customWidth="1"/>
    <col min="10250" max="10250" width="24" customWidth="1"/>
    <col min="10483" max="10483" width="7.42578125" customWidth="1"/>
    <col min="10484" max="10484" width="22.7109375" customWidth="1"/>
    <col min="10485" max="10485" width="14.42578125" customWidth="1"/>
    <col min="10486" max="10486" width="16.42578125" customWidth="1"/>
    <col min="10487" max="10487" width="8.140625" customWidth="1"/>
    <col min="10488" max="10488" width="10.85546875" customWidth="1"/>
    <col min="10489" max="10489" width="38.85546875" customWidth="1"/>
    <col min="10490" max="10490" width="25.5703125" customWidth="1"/>
    <col min="10494" max="10494" width="44.85546875" customWidth="1"/>
    <col min="10495" max="10495" width="14.42578125" customWidth="1"/>
    <col min="10496" max="10496" width="13.7109375" customWidth="1"/>
    <col min="10497" max="10497" width="13.85546875" customWidth="1"/>
    <col min="10498" max="10498" width="13.5703125" customWidth="1"/>
    <col min="10499" max="10499" width="11.7109375" customWidth="1"/>
    <col min="10500" max="10500" width="14" customWidth="1"/>
    <col min="10501" max="10501" width="16.28515625" customWidth="1"/>
    <col min="10502" max="10502" width="12.5703125" customWidth="1"/>
    <col min="10503" max="10503" width="13.28515625" customWidth="1"/>
    <col min="10504" max="10504" width="14.85546875" customWidth="1"/>
    <col min="10505" max="10505" width="18" customWidth="1"/>
    <col min="10506" max="10506" width="24" customWidth="1"/>
    <col min="10739" max="10739" width="7.42578125" customWidth="1"/>
    <col min="10740" max="10740" width="22.7109375" customWidth="1"/>
    <col min="10741" max="10741" width="14.42578125" customWidth="1"/>
    <col min="10742" max="10742" width="16.42578125" customWidth="1"/>
    <col min="10743" max="10743" width="8.140625" customWidth="1"/>
    <col min="10744" max="10744" width="10.85546875" customWidth="1"/>
    <col min="10745" max="10745" width="38.85546875" customWidth="1"/>
    <col min="10746" max="10746" width="25.5703125" customWidth="1"/>
    <col min="10750" max="10750" width="44.85546875" customWidth="1"/>
    <col min="10751" max="10751" width="14.42578125" customWidth="1"/>
    <col min="10752" max="10752" width="13.7109375" customWidth="1"/>
    <col min="10753" max="10753" width="13.85546875" customWidth="1"/>
    <col min="10754" max="10754" width="13.5703125" customWidth="1"/>
    <col min="10755" max="10755" width="11.7109375" customWidth="1"/>
    <col min="10756" max="10756" width="14" customWidth="1"/>
    <col min="10757" max="10757" width="16.28515625" customWidth="1"/>
    <col min="10758" max="10758" width="12.5703125" customWidth="1"/>
    <col min="10759" max="10759" width="13.28515625" customWidth="1"/>
    <col min="10760" max="10760" width="14.85546875" customWidth="1"/>
    <col min="10761" max="10761" width="18" customWidth="1"/>
    <col min="10762" max="10762" width="24" customWidth="1"/>
    <col min="10995" max="10995" width="7.42578125" customWidth="1"/>
    <col min="10996" max="10996" width="22.7109375" customWidth="1"/>
    <col min="10997" max="10997" width="14.42578125" customWidth="1"/>
    <col min="10998" max="10998" width="16.42578125" customWidth="1"/>
    <col min="10999" max="10999" width="8.140625" customWidth="1"/>
    <col min="11000" max="11000" width="10.85546875" customWidth="1"/>
    <col min="11001" max="11001" width="38.85546875" customWidth="1"/>
    <col min="11002" max="11002" width="25.5703125" customWidth="1"/>
    <col min="11006" max="11006" width="44.85546875" customWidth="1"/>
    <col min="11007" max="11007" width="14.42578125" customWidth="1"/>
    <col min="11008" max="11008" width="13.7109375" customWidth="1"/>
    <col min="11009" max="11009" width="13.85546875" customWidth="1"/>
    <col min="11010" max="11010" width="13.5703125" customWidth="1"/>
    <col min="11011" max="11011" width="11.7109375" customWidth="1"/>
    <col min="11012" max="11012" width="14" customWidth="1"/>
    <col min="11013" max="11013" width="16.28515625" customWidth="1"/>
    <col min="11014" max="11014" width="12.5703125" customWidth="1"/>
    <col min="11015" max="11015" width="13.28515625" customWidth="1"/>
    <col min="11016" max="11016" width="14.85546875" customWidth="1"/>
    <col min="11017" max="11017" width="18" customWidth="1"/>
    <col min="11018" max="11018" width="24" customWidth="1"/>
    <col min="11251" max="11251" width="7.42578125" customWidth="1"/>
    <col min="11252" max="11252" width="22.7109375" customWidth="1"/>
    <col min="11253" max="11253" width="14.42578125" customWidth="1"/>
    <col min="11254" max="11254" width="16.42578125" customWidth="1"/>
    <col min="11255" max="11255" width="8.140625" customWidth="1"/>
    <col min="11256" max="11256" width="10.85546875" customWidth="1"/>
    <col min="11257" max="11257" width="38.85546875" customWidth="1"/>
    <col min="11258" max="11258" width="25.5703125" customWidth="1"/>
    <col min="11262" max="11262" width="44.85546875" customWidth="1"/>
    <col min="11263" max="11263" width="14.42578125" customWidth="1"/>
    <col min="11264" max="11264" width="13.7109375" customWidth="1"/>
    <col min="11265" max="11265" width="13.85546875" customWidth="1"/>
    <col min="11266" max="11266" width="13.5703125" customWidth="1"/>
    <col min="11267" max="11267" width="11.7109375" customWidth="1"/>
    <col min="11268" max="11268" width="14" customWidth="1"/>
    <col min="11269" max="11269" width="16.28515625" customWidth="1"/>
    <col min="11270" max="11270" width="12.5703125" customWidth="1"/>
    <col min="11271" max="11271" width="13.28515625" customWidth="1"/>
    <col min="11272" max="11272" width="14.85546875" customWidth="1"/>
    <col min="11273" max="11273" width="18" customWidth="1"/>
    <col min="11274" max="11274" width="24" customWidth="1"/>
    <col min="11507" max="11507" width="7.42578125" customWidth="1"/>
    <col min="11508" max="11508" width="22.7109375" customWidth="1"/>
    <col min="11509" max="11509" width="14.42578125" customWidth="1"/>
    <col min="11510" max="11510" width="16.42578125" customWidth="1"/>
    <col min="11511" max="11511" width="8.140625" customWidth="1"/>
    <col min="11512" max="11512" width="10.85546875" customWidth="1"/>
    <col min="11513" max="11513" width="38.85546875" customWidth="1"/>
    <col min="11514" max="11514" width="25.5703125" customWidth="1"/>
    <col min="11518" max="11518" width="44.85546875" customWidth="1"/>
    <col min="11519" max="11519" width="14.42578125" customWidth="1"/>
    <col min="11520" max="11520" width="13.7109375" customWidth="1"/>
    <col min="11521" max="11521" width="13.85546875" customWidth="1"/>
    <col min="11522" max="11522" width="13.5703125" customWidth="1"/>
    <col min="11523" max="11523" width="11.7109375" customWidth="1"/>
    <col min="11524" max="11524" width="14" customWidth="1"/>
    <col min="11525" max="11525" width="16.28515625" customWidth="1"/>
    <col min="11526" max="11526" width="12.5703125" customWidth="1"/>
    <col min="11527" max="11527" width="13.28515625" customWidth="1"/>
    <col min="11528" max="11528" width="14.85546875" customWidth="1"/>
    <col min="11529" max="11529" width="18" customWidth="1"/>
    <col min="11530" max="11530" width="24" customWidth="1"/>
    <col min="11763" max="11763" width="7.42578125" customWidth="1"/>
    <col min="11764" max="11764" width="22.7109375" customWidth="1"/>
    <col min="11765" max="11765" width="14.42578125" customWidth="1"/>
    <col min="11766" max="11766" width="16.42578125" customWidth="1"/>
    <col min="11767" max="11767" width="8.140625" customWidth="1"/>
    <col min="11768" max="11768" width="10.85546875" customWidth="1"/>
    <col min="11769" max="11769" width="38.85546875" customWidth="1"/>
    <col min="11770" max="11770" width="25.5703125" customWidth="1"/>
    <col min="11774" max="11774" width="44.85546875" customWidth="1"/>
    <col min="11775" max="11775" width="14.42578125" customWidth="1"/>
    <col min="11776" max="11776" width="13.7109375" customWidth="1"/>
    <col min="11777" max="11777" width="13.85546875" customWidth="1"/>
    <col min="11778" max="11778" width="13.5703125" customWidth="1"/>
    <col min="11779" max="11779" width="11.7109375" customWidth="1"/>
    <col min="11780" max="11780" width="14" customWidth="1"/>
    <col min="11781" max="11781" width="16.28515625" customWidth="1"/>
    <col min="11782" max="11782" width="12.5703125" customWidth="1"/>
    <col min="11783" max="11783" width="13.28515625" customWidth="1"/>
    <col min="11784" max="11784" width="14.85546875" customWidth="1"/>
    <col min="11785" max="11785" width="18" customWidth="1"/>
    <col min="11786" max="11786" width="24" customWidth="1"/>
    <col min="12019" max="12019" width="7.42578125" customWidth="1"/>
    <col min="12020" max="12020" width="22.7109375" customWidth="1"/>
    <col min="12021" max="12021" width="14.42578125" customWidth="1"/>
    <col min="12022" max="12022" width="16.42578125" customWidth="1"/>
    <col min="12023" max="12023" width="8.140625" customWidth="1"/>
    <col min="12024" max="12024" width="10.85546875" customWidth="1"/>
    <col min="12025" max="12025" width="38.85546875" customWidth="1"/>
    <col min="12026" max="12026" width="25.5703125" customWidth="1"/>
    <col min="12030" max="12030" width="44.85546875" customWidth="1"/>
    <col min="12031" max="12031" width="14.42578125" customWidth="1"/>
    <col min="12032" max="12032" width="13.7109375" customWidth="1"/>
    <col min="12033" max="12033" width="13.85546875" customWidth="1"/>
    <col min="12034" max="12034" width="13.5703125" customWidth="1"/>
    <col min="12035" max="12035" width="11.7109375" customWidth="1"/>
    <col min="12036" max="12036" width="14" customWidth="1"/>
    <col min="12037" max="12037" width="16.28515625" customWidth="1"/>
    <col min="12038" max="12038" width="12.5703125" customWidth="1"/>
    <col min="12039" max="12039" width="13.28515625" customWidth="1"/>
    <col min="12040" max="12040" width="14.85546875" customWidth="1"/>
    <col min="12041" max="12041" width="18" customWidth="1"/>
    <col min="12042" max="12042" width="24" customWidth="1"/>
    <col min="12275" max="12275" width="7.42578125" customWidth="1"/>
    <col min="12276" max="12276" width="22.7109375" customWidth="1"/>
    <col min="12277" max="12277" width="14.42578125" customWidth="1"/>
    <col min="12278" max="12278" width="16.42578125" customWidth="1"/>
    <col min="12279" max="12279" width="8.140625" customWidth="1"/>
    <col min="12280" max="12280" width="10.85546875" customWidth="1"/>
    <col min="12281" max="12281" width="38.85546875" customWidth="1"/>
    <col min="12282" max="12282" width="25.5703125" customWidth="1"/>
    <col min="12286" max="12286" width="44.85546875" customWidth="1"/>
    <col min="12287" max="12287" width="14.42578125" customWidth="1"/>
    <col min="12288" max="12288" width="13.7109375" customWidth="1"/>
    <col min="12289" max="12289" width="13.85546875" customWidth="1"/>
    <col min="12290" max="12290" width="13.5703125" customWidth="1"/>
    <col min="12291" max="12291" width="11.7109375" customWidth="1"/>
    <col min="12292" max="12292" width="14" customWidth="1"/>
    <col min="12293" max="12293" width="16.28515625" customWidth="1"/>
    <col min="12294" max="12294" width="12.5703125" customWidth="1"/>
    <col min="12295" max="12295" width="13.28515625" customWidth="1"/>
    <col min="12296" max="12296" width="14.85546875" customWidth="1"/>
    <col min="12297" max="12297" width="18" customWidth="1"/>
    <col min="12298" max="12298" width="24" customWidth="1"/>
    <col min="12531" max="12531" width="7.42578125" customWidth="1"/>
    <col min="12532" max="12532" width="22.7109375" customWidth="1"/>
    <col min="12533" max="12533" width="14.42578125" customWidth="1"/>
    <col min="12534" max="12534" width="16.42578125" customWidth="1"/>
    <col min="12535" max="12535" width="8.140625" customWidth="1"/>
    <col min="12536" max="12536" width="10.85546875" customWidth="1"/>
    <col min="12537" max="12537" width="38.85546875" customWidth="1"/>
    <col min="12538" max="12538" width="25.5703125" customWidth="1"/>
    <col min="12542" max="12542" width="44.85546875" customWidth="1"/>
    <col min="12543" max="12543" width="14.42578125" customWidth="1"/>
    <col min="12544" max="12544" width="13.7109375" customWidth="1"/>
    <col min="12545" max="12545" width="13.85546875" customWidth="1"/>
    <col min="12546" max="12546" width="13.5703125" customWidth="1"/>
    <col min="12547" max="12547" width="11.7109375" customWidth="1"/>
    <col min="12548" max="12548" width="14" customWidth="1"/>
    <col min="12549" max="12549" width="16.28515625" customWidth="1"/>
    <col min="12550" max="12550" width="12.5703125" customWidth="1"/>
    <col min="12551" max="12551" width="13.28515625" customWidth="1"/>
    <col min="12552" max="12552" width="14.85546875" customWidth="1"/>
    <col min="12553" max="12553" width="18" customWidth="1"/>
    <col min="12554" max="12554" width="24" customWidth="1"/>
    <col min="12787" max="12787" width="7.42578125" customWidth="1"/>
    <col min="12788" max="12788" width="22.7109375" customWidth="1"/>
    <col min="12789" max="12789" width="14.42578125" customWidth="1"/>
    <col min="12790" max="12790" width="16.42578125" customWidth="1"/>
    <col min="12791" max="12791" width="8.140625" customWidth="1"/>
    <col min="12792" max="12792" width="10.85546875" customWidth="1"/>
    <col min="12793" max="12793" width="38.85546875" customWidth="1"/>
    <col min="12794" max="12794" width="25.5703125" customWidth="1"/>
    <col min="12798" max="12798" width="44.85546875" customWidth="1"/>
    <col min="12799" max="12799" width="14.42578125" customWidth="1"/>
    <col min="12800" max="12800" width="13.7109375" customWidth="1"/>
    <col min="12801" max="12801" width="13.85546875" customWidth="1"/>
    <col min="12802" max="12802" width="13.5703125" customWidth="1"/>
    <col min="12803" max="12803" width="11.7109375" customWidth="1"/>
    <col min="12804" max="12804" width="14" customWidth="1"/>
    <col min="12805" max="12805" width="16.28515625" customWidth="1"/>
    <col min="12806" max="12806" width="12.5703125" customWidth="1"/>
    <col min="12807" max="12807" width="13.28515625" customWidth="1"/>
    <col min="12808" max="12808" width="14.85546875" customWidth="1"/>
    <col min="12809" max="12809" width="18" customWidth="1"/>
    <col min="12810" max="12810" width="24" customWidth="1"/>
    <col min="13043" max="13043" width="7.42578125" customWidth="1"/>
    <col min="13044" max="13044" width="22.7109375" customWidth="1"/>
    <col min="13045" max="13045" width="14.42578125" customWidth="1"/>
    <col min="13046" max="13046" width="16.42578125" customWidth="1"/>
    <col min="13047" max="13047" width="8.140625" customWidth="1"/>
    <col min="13048" max="13048" width="10.85546875" customWidth="1"/>
    <col min="13049" max="13049" width="38.85546875" customWidth="1"/>
    <col min="13050" max="13050" width="25.5703125" customWidth="1"/>
    <col min="13054" max="13054" width="44.85546875" customWidth="1"/>
    <col min="13055" max="13055" width="14.42578125" customWidth="1"/>
    <col min="13056" max="13056" width="13.7109375" customWidth="1"/>
    <col min="13057" max="13057" width="13.85546875" customWidth="1"/>
    <col min="13058" max="13058" width="13.5703125" customWidth="1"/>
    <col min="13059" max="13059" width="11.7109375" customWidth="1"/>
    <col min="13060" max="13060" width="14" customWidth="1"/>
    <col min="13061" max="13061" width="16.28515625" customWidth="1"/>
    <col min="13062" max="13062" width="12.5703125" customWidth="1"/>
    <col min="13063" max="13063" width="13.28515625" customWidth="1"/>
    <col min="13064" max="13064" width="14.85546875" customWidth="1"/>
    <col min="13065" max="13065" width="18" customWidth="1"/>
    <col min="13066" max="13066" width="24" customWidth="1"/>
    <col min="13299" max="13299" width="7.42578125" customWidth="1"/>
    <col min="13300" max="13300" width="22.7109375" customWidth="1"/>
    <col min="13301" max="13301" width="14.42578125" customWidth="1"/>
    <col min="13302" max="13302" width="16.42578125" customWidth="1"/>
    <col min="13303" max="13303" width="8.140625" customWidth="1"/>
    <col min="13304" max="13304" width="10.85546875" customWidth="1"/>
    <col min="13305" max="13305" width="38.85546875" customWidth="1"/>
    <col min="13306" max="13306" width="25.5703125" customWidth="1"/>
    <col min="13310" max="13310" width="44.85546875" customWidth="1"/>
    <col min="13311" max="13311" width="14.42578125" customWidth="1"/>
    <col min="13312" max="13312" width="13.7109375" customWidth="1"/>
    <col min="13313" max="13313" width="13.85546875" customWidth="1"/>
    <col min="13314" max="13314" width="13.5703125" customWidth="1"/>
    <col min="13315" max="13315" width="11.7109375" customWidth="1"/>
    <col min="13316" max="13316" width="14" customWidth="1"/>
    <col min="13317" max="13317" width="16.28515625" customWidth="1"/>
    <col min="13318" max="13318" width="12.5703125" customWidth="1"/>
    <col min="13319" max="13319" width="13.28515625" customWidth="1"/>
    <col min="13320" max="13320" width="14.85546875" customWidth="1"/>
    <col min="13321" max="13321" width="18" customWidth="1"/>
    <col min="13322" max="13322" width="24" customWidth="1"/>
    <col min="13555" max="13555" width="7.42578125" customWidth="1"/>
    <col min="13556" max="13556" width="22.7109375" customWidth="1"/>
    <col min="13557" max="13557" width="14.42578125" customWidth="1"/>
    <col min="13558" max="13558" width="16.42578125" customWidth="1"/>
    <col min="13559" max="13559" width="8.140625" customWidth="1"/>
    <col min="13560" max="13560" width="10.85546875" customWidth="1"/>
    <col min="13561" max="13561" width="38.85546875" customWidth="1"/>
    <col min="13562" max="13562" width="25.5703125" customWidth="1"/>
    <col min="13566" max="13566" width="44.85546875" customWidth="1"/>
    <col min="13567" max="13567" width="14.42578125" customWidth="1"/>
    <col min="13568" max="13568" width="13.7109375" customWidth="1"/>
    <col min="13569" max="13569" width="13.85546875" customWidth="1"/>
    <col min="13570" max="13570" width="13.5703125" customWidth="1"/>
    <col min="13571" max="13571" width="11.7109375" customWidth="1"/>
    <col min="13572" max="13572" width="14" customWidth="1"/>
    <col min="13573" max="13573" width="16.28515625" customWidth="1"/>
    <col min="13574" max="13574" width="12.5703125" customWidth="1"/>
    <col min="13575" max="13575" width="13.28515625" customWidth="1"/>
    <col min="13576" max="13576" width="14.85546875" customWidth="1"/>
    <col min="13577" max="13577" width="18" customWidth="1"/>
    <col min="13578" max="13578" width="24" customWidth="1"/>
    <col min="13811" max="13811" width="7.42578125" customWidth="1"/>
    <col min="13812" max="13812" width="22.7109375" customWidth="1"/>
    <col min="13813" max="13813" width="14.42578125" customWidth="1"/>
    <col min="13814" max="13814" width="16.42578125" customWidth="1"/>
    <col min="13815" max="13815" width="8.140625" customWidth="1"/>
    <col min="13816" max="13816" width="10.85546875" customWidth="1"/>
    <col min="13817" max="13817" width="38.85546875" customWidth="1"/>
    <col min="13818" max="13818" width="25.5703125" customWidth="1"/>
    <col min="13822" max="13822" width="44.85546875" customWidth="1"/>
    <col min="13823" max="13823" width="14.42578125" customWidth="1"/>
    <col min="13824" max="13824" width="13.7109375" customWidth="1"/>
    <col min="13825" max="13825" width="13.85546875" customWidth="1"/>
    <col min="13826" max="13826" width="13.5703125" customWidth="1"/>
    <col min="13827" max="13827" width="11.7109375" customWidth="1"/>
    <col min="13828" max="13828" width="14" customWidth="1"/>
    <col min="13829" max="13829" width="16.28515625" customWidth="1"/>
    <col min="13830" max="13830" width="12.5703125" customWidth="1"/>
    <col min="13831" max="13831" width="13.28515625" customWidth="1"/>
    <col min="13832" max="13832" width="14.85546875" customWidth="1"/>
    <col min="13833" max="13833" width="18" customWidth="1"/>
    <col min="13834" max="13834" width="24" customWidth="1"/>
    <col min="14067" max="14067" width="7.42578125" customWidth="1"/>
    <col min="14068" max="14068" width="22.7109375" customWidth="1"/>
    <col min="14069" max="14069" width="14.42578125" customWidth="1"/>
    <col min="14070" max="14070" width="16.42578125" customWidth="1"/>
    <col min="14071" max="14071" width="8.140625" customWidth="1"/>
    <col min="14072" max="14072" width="10.85546875" customWidth="1"/>
    <col min="14073" max="14073" width="38.85546875" customWidth="1"/>
    <col min="14074" max="14074" width="25.5703125" customWidth="1"/>
    <col min="14078" max="14078" width="44.85546875" customWidth="1"/>
    <col min="14079" max="14079" width="14.42578125" customWidth="1"/>
    <col min="14080" max="14080" width="13.7109375" customWidth="1"/>
    <col min="14081" max="14081" width="13.85546875" customWidth="1"/>
    <col min="14082" max="14082" width="13.5703125" customWidth="1"/>
    <col min="14083" max="14083" width="11.7109375" customWidth="1"/>
    <col min="14084" max="14084" width="14" customWidth="1"/>
    <col min="14085" max="14085" width="16.28515625" customWidth="1"/>
    <col min="14086" max="14086" width="12.5703125" customWidth="1"/>
    <col min="14087" max="14087" width="13.28515625" customWidth="1"/>
    <col min="14088" max="14088" width="14.85546875" customWidth="1"/>
    <col min="14089" max="14089" width="18" customWidth="1"/>
    <col min="14090" max="14090" width="24" customWidth="1"/>
    <col min="14323" max="14323" width="7.42578125" customWidth="1"/>
    <col min="14324" max="14324" width="22.7109375" customWidth="1"/>
    <col min="14325" max="14325" width="14.42578125" customWidth="1"/>
    <col min="14326" max="14326" width="16.42578125" customWidth="1"/>
    <col min="14327" max="14327" width="8.140625" customWidth="1"/>
    <col min="14328" max="14328" width="10.85546875" customWidth="1"/>
    <col min="14329" max="14329" width="38.85546875" customWidth="1"/>
    <col min="14330" max="14330" width="25.5703125" customWidth="1"/>
    <col min="14334" max="14334" width="44.85546875" customWidth="1"/>
    <col min="14335" max="14335" width="14.42578125" customWidth="1"/>
    <col min="14336" max="14336" width="13.7109375" customWidth="1"/>
    <col min="14337" max="14337" width="13.85546875" customWidth="1"/>
    <col min="14338" max="14338" width="13.5703125" customWidth="1"/>
    <col min="14339" max="14339" width="11.7109375" customWidth="1"/>
    <col min="14340" max="14340" width="14" customWidth="1"/>
    <col min="14341" max="14341" width="16.28515625" customWidth="1"/>
    <col min="14342" max="14342" width="12.5703125" customWidth="1"/>
    <col min="14343" max="14343" width="13.28515625" customWidth="1"/>
    <col min="14344" max="14344" width="14.85546875" customWidth="1"/>
    <col min="14345" max="14345" width="18" customWidth="1"/>
    <col min="14346" max="14346" width="24" customWidth="1"/>
    <col min="14579" max="14579" width="7.42578125" customWidth="1"/>
    <col min="14580" max="14580" width="22.7109375" customWidth="1"/>
    <col min="14581" max="14581" width="14.42578125" customWidth="1"/>
    <col min="14582" max="14582" width="16.42578125" customWidth="1"/>
    <col min="14583" max="14583" width="8.140625" customWidth="1"/>
    <col min="14584" max="14584" width="10.85546875" customWidth="1"/>
    <col min="14585" max="14585" width="38.85546875" customWidth="1"/>
    <col min="14586" max="14586" width="25.5703125" customWidth="1"/>
    <col min="14590" max="14590" width="44.85546875" customWidth="1"/>
    <col min="14591" max="14591" width="14.42578125" customWidth="1"/>
    <col min="14592" max="14592" width="13.7109375" customWidth="1"/>
    <col min="14593" max="14593" width="13.85546875" customWidth="1"/>
    <col min="14594" max="14594" width="13.5703125" customWidth="1"/>
    <col min="14595" max="14595" width="11.7109375" customWidth="1"/>
    <col min="14596" max="14596" width="14" customWidth="1"/>
    <col min="14597" max="14597" width="16.28515625" customWidth="1"/>
    <col min="14598" max="14598" width="12.5703125" customWidth="1"/>
    <col min="14599" max="14599" width="13.28515625" customWidth="1"/>
    <col min="14600" max="14600" width="14.85546875" customWidth="1"/>
    <col min="14601" max="14601" width="18" customWidth="1"/>
    <col min="14602" max="14602" width="24" customWidth="1"/>
    <col min="14835" max="14835" width="7.42578125" customWidth="1"/>
    <col min="14836" max="14836" width="22.7109375" customWidth="1"/>
    <col min="14837" max="14837" width="14.42578125" customWidth="1"/>
    <col min="14838" max="14838" width="16.42578125" customWidth="1"/>
    <col min="14839" max="14839" width="8.140625" customWidth="1"/>
    <col min="14840" max="14840" width="10.85546875" customWidth="1"/>
    <col min="14841" max="14841" width="38.85546875" customWidth="1"/>
    <col min="14842" max="14842" width="25.5703125" customWidth="1"/>
    <col min="14846" max="14846" width="44.85546875" customWidth="1"/>
    <col min="14847" max="14847" width="14.42578125" customWidth="1"/>
    <col min="14848" max="14848" width="13.7109375" customWidth="1"/>
    <col min="14849" max="14849" width="13.85546875" customWidth="1"/>
    <col min="14850" max="14850" width="13.5703125" customWidth="1"/>
    <col min="14851" max="14851" width="11.7109375" customWidth="1"/>
    <col min="14852" max="14852" width="14" customWidth="1"/>
    <col min="14853" max="14853" width="16.28515625" customWidth="1"/>
    <col min="14854" max="14854" width="12.5703125" customWidth="1"/>
    <col min="14855" max="14855" width="13.28515625" customWidth="1"/>
    <col min="14856" max="14856" width="14.85546875" customWidth="1"/>
    <col min="14857" max="14857" width="18" customWidth="1"/>
    <col min="14858" max="14858" width="24" customWidth="1"/>
    <col min="15091" max="15091" width="7.42578125" customWidth="1"/>
    <col min="15092" max="15092" width="22.7109375" customWidth="1"/>
    <col min="15093" max="15093" width="14.42578125" customWidth="1"/>
    <col min="15094" max="15094" width="16.42578125" customWidth="1"/>
    <col min="15095" max="15095" width="8.140625" customWidth="1"/>
    <col min="15096" max="15096" width="10.85546875" customWidth="1"/>
    <col min="15097" max="15097" width="38.85546875" customWidth="1"/>
    <col min="15098" max="15098" width="25.5703125" customWidth="1"/>
    <col min="15102" max="15102" width="44.85546875" customWidth="1"/>
    <col min="15103" max="15103" width="14.42578125" customWidth="1"/>
    <col min="15104" max="15104" width="13.7109375" customWidth="1"/>
    <col min="15105" max="15105" width="13.85546875" customWidth="1"/>
    <col min="15106" max="15106" width="13.5703125" customWidth="1"/>
    <col min="15107" max="15107" width="11.7109375" customWidth="1"/>
    <col min="15108" max="15108" width="14" customWidth="1"/>
    <col min="15109" max="15109" width="16.28515625" customWidth="1"/>
    <col min="15110" max="15110" width="12.5703125" customWidth="1"/>
    <col min="15111" max="15111" width="13.28515625" customWidth="1"/>
    <col min="15112" max="15112" width="14.85546875" customWidth="1"/>
    <col min="15113" max="15113" width="18" customWidth="1"/>
    <col min="15114" max="15114" width="24" customWidth="1"/>
    <col min="15347" max="15347" width="7.42578125" customWidth="1"/>
    <col min="15348" max="15348" width="22.7109375" customWidth="1"/>
    <col min="15349" max="15349" width="14.42578125" customWidth="1"/>
    <col min="15350" max="15350" width="16.42578125" customWidth="1"/>
    <col min="15351" max="15351" width="8.140625" customWidth="1"/>
    <col min="15352" max="15352" width="10.85546875" customWidth="1"/>
    <col min="15353" max="15353" width="38.85546875" customWidth="1"/>
    <col min="15354" max="15354" width="25.5703125" customWidth="1"/>
    <col min="15358" max="15358" width="44.85546875" customWidth="1"/>
    <col min="15359" max="15359" width="14.42578125" customWidth="1"/>
    <col min="15360" max="15360" width="13.7109375" customWidth="1"/>
    <col min="15361" max="15361" width="13.85546875" customWidth="1"/>
    <col min="15362" max="15362" width="13.5703125" customWidth="1"/>
    <col min="15363" max="15363" width="11.7109375" customWidth="1"/>
    <col min="15364" max="15364" width="14" customWidth="1"/>
    <col min="15365" max="15365" width="16.28515625" customWidth="1"/>
    <col min="15366" max="15366" width="12.5703125" customWidth="1"/>
    <col min="15367" max="15367" width="13.28515625" customWidth="1"/>
    <col min="15368" max="15368" width="14.85546875" customWidth="1"/>
    <col min="15369" max="15369" width="18" customWidth="1"/>
    <col min="15370" max="15370" width="24" customWidth="1"/>
    <col min="15603" max="15603" width="7.42578125" customWidth="1"/>
    <col min="15604" max="15604" width="22.7109375" customWidth="1"/>
    <col min="15605" max="15605" width="14.42578125" customWidth="1"/>
    <col min="15606" max="15606" width="16.42578125" customWidth="1"/>
    <col min="15607" max="15607" width="8.140625" customWidth="1"/>
    <col min="15608" max="15608" width="10.85546875" customWidth="1"/>
    <col min="15609" max="15609" width="38.85546875" customWidth="1"/>
    <col min="15610" max="15610" width="25.5703125" customWidth="1"/>
    <col min="15614" max="15614" width="44.85546875" customWidth="1"/>
    <col min="15615" max="15615" width="14.42578125" customWidth="1"/>
    <col min="15616" max="15616" width="13.7109375" customWidth="1"/>
    <col min="15617" max="15617" width="13.85546875" customWidth="1"/>
    <col min="15618" max="15618" width="13.5703125" customWidth="1"/>
    <col min="15619" max="15619" width="11.7109375" customWidth="1"/>
    <col min="15620" max="15620" width="14" customWidth="1"/>
    <col min="15621" max="15621" width="16.28515625" customWidth="1"/>
    <col min="15622" max="15622" width="12.5703125" customWidth="1"/>
    <col min="15623" max="15623" width="13.28515625" customWidth="1"/>
    <col min="15624" max="15624" width="14.85546875" customWidth="1"/>
    <col min="15625" max="15625" width="18" customWidth="1"/>
    <col min="15626" max="15626" width="24" customWidth="1"/>
    <col min="15859" max="15859" width="7.42578125" customWidth="1"/>
    <col min="15860" max="15860" width="22.7109375" customWidth="1"/>
    <col min="15861" max="15861" width="14.42578125" customWidth="1"/>
    <col min="15862" max="15862" width="16.42578125" customWidth="1"/>
    <col min="15863" max="15863" width="8.140625" customWidth="1"/>
    <col min="15864" max="15864" width="10.85546875" customWidth="1"/>
    <col min="15865" max="15865" width="38.85546875" customWidth="1"/>
    <col min="15866" max="15866" width="25.5703125" customWidth="1"/>
    <col min="15870" max="15870" width="44.85546875" customWidth="1"/>
    <col min="15871" max="15871" width="14.42578125" customWidth="1"/>
    <col min="15872" max="15872" width="13.7109375" customWidth="1"/>
    <col min="15873" max="15873" width="13.85546875" customWidth="1"/>
    <col min="15874" max="15874" width="13.5703125" customWidth="1"/>
    <col min="15875" max="15875" width="11.7109375" customWidth="1"/>
    <col min="15876" max="15876" width="14" customWidth="1"/>
    <col min="15877" max="15877" width="16.28515625" customWidth="1"/>
    <col min="15878" max="15878" width="12.5703125" customWidth="1"/>
    <col min="15879" max="15879" width="13.28515625" customWidth="1"/>
    <col min="15880" max="15880" width="14.85546875" customWidth="1"/>
    <col min="15881" max="15881" width="18" customWidth="1"/>
    <col min="15882" max="15882" width="24" customWidth="1"/>
    <col min="16115" max="16115" width="7.42578125" customWidth="1"/>
    <col min="16116" max="16116" width="22.7109375" customWidth="1"/>
    <col min="16117" max="16117" width="14.42578125" customWidth="1"/>
    <col min="16118" max="16118" width="16.42578125" customWidth="1"/>
    <col min="16119" max="16119" width="8.140625" customWidth="1"/>
    <col min="16120" max="16120" width="10.85546875" customWidth="1"/>
    <col min="16121" max="16121" width="38.85546875" customWidth="1"/>
    <col min="16122" max="16122" width="25.5703125" customWidth="1"/>
    <col min="16126" max="16126" width="44.85546875" customWidth="1"/>
    <col min="16127" max="16127" width="14.42578125" customWidth="1"/>
    <col min="16128" max="16128" width="13.7109375" customWidth="1"/>
    <col min="16129" max="16129" width="13.85546875" customWidth="1"/>
    <col min="16130" max="16130" width="13.5703125" customWidth="1"/>
    <col min="16131" max="16131" width="11.7109375" customWidth="1"/>
    <col min="16132" max="16132" width="14" customWidth="1"/>
    <col min="16133" max="16133" width="16.28515625" customWidth="1"/>
    <col min="16134" max="16134" width="12.5703125" customWidth="1"/>
    <col min="16135" max="16135" width="13.28515625" customWidth="1"/>
    <col min="16136" max="16136" width="14.85546875" customWidth="1"/>
    <col min="16137" max="16137" width="18" customWidth="1"/>
    <col min="16138" max="16138" width="24" customWidth="1"/>
  </cols>
  <sheetData>
    <row r="2" spans="1:28" s="7" customFormat="1" ht="18">
      <c r="A2" s="357" t="s">
        <v>166</v>
      </c>
      <c r="B2" s="357"/>
      <c r="C2" s="357"/>
      <c r="D2" s="357"/>
      <c r="E2" s="357"/>
      <c r="F2" s="357"/>
      <c r="G2" s="357"/>
      <c r="H2" s="357"/>
      <c r="I2" s="357"/>
      <c r="J2" s="357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7" customFormat="1" ht="18.75" thickBot="1">
      <c r="A3" s="61"/>
      <c r="B3" s="134"/>
      <c r="C3" s="61"/>
      <c r="D3" s="61"/>
      <c r="E3" s="61"/>
      <c r="F3" s="61"/>
      <c r="G3" s="86"/>
      <c r="H3" s="61"/>
      <c r="I3" s="61"/>
      <c r="J3" s="61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7" customFormat="1" ht="18.75" thickBot="1">
      <c r="A4" s="61"/>
      <c r="B4" s="134"/>
      <c r="C4" s="61"/>
      <c r="D4" s="360" t="s">
        <v>26</v>
      </c>
      <c r="E4" s="361"/>
      <c r="F4" s="362"/>
      <c r="G4" s="307" t="s">
        <v>30</v>
      </c>
      <c r="H4" s="360" t="s">
        <v>30</v>
      </c>
      <c r="I4" s="362"/>
      <c r="J4" s="6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customHeight="1" thickBot="1">
      <c r="A5" s="62"/>
      <c r="B5" s="75" t="s">
        <v>9</v>
      </c>
      <c r="C5" s="75" t="s">
        <v>36</v>
      </c>
      <c r="D5" s="64" t="s">
        <v>27</v>
      </c>
      <c r="E5" s="64" t="s">
        <v>28</v>
      </c>
      <c r="F5" s="65" t="s">
        <v>29</v>
      </c>
      <c r="G5" s="64" t="s">
        <v>25</v>
      </c>
      <c r="H5" s="66" t="s">
        <v>4</v>
      </c>
      <c r="I5" s="66" t="s">
        <v>5</v>
      </c>
      <c r="J5" s="74" t="s">
        <v>23</v>
      </c>
    </row>
    <row r="6" spans="1:28" s="16" customFormat="1" ht="24.95" customHeight="1">
      <c r="A6" s="63"/>
      <c r="B6" s="144" t="s">
        <v>10</v>
      </c>
      <c r="C6" s="151" t="s">
        <v>73</v>
      </c>
      <c r="D6" s="145">
        <f>'JAN-19'!M19</f>
        <v>552.27</v>
      </c>
      <c r="E6" s="145">
        <f>'JAN-19'!N19</f>
        <v>1223.47</v>
      </c>
      <c r="F6" s="145">
        <f>'JAN-19'!O19</f>
        <v>0</v>
      </c>
      <c r="G6" s="145">
        <f>'JAN-19'!P21</f>
        <v>577.38669999999991</v>
      </c>
      <c r="H6" s="146">
        <f>'JAN-19'!Q19</f>
        <v>23869.034999999993</v>
      </c>
      <c r="I6" s="146">
        <f>'JAN-19'!R19</f>
        <v>6082.82</v>
      </c>
      <c r="J6" s="355">
        <f>D6+E6+F6+G6+H6+I6</f>
        <v>32304.981699999993</v>
      </c>
      <c r="K6" s="15"/>
      <c r="L6" s="82">
        <f>J6-'JAN-19'!S19</f>
        <v>0</v>
      </c>
      <c r="M6" s="15"/>
      <c r="N6" s="15"/>
    </row>
    <row r="7" spans="1:28" s="16" customFormat="1" ht="24.95" customHeight="1">
      <c r="A7" s="63"/>
      <c r="B7" s="67" t="s">
        <v>11</v>
      </c>
      <c r="C7" s="152" t="s">
        <v>73</v>
      </c>
      <c r="D7" s="70">
        <f>'FEV-19'!M26</f>
        <v>1253.58</v>
      </c>
      <c r="E7" s="70">
        <f>'FEV-19'!N26</f>
        <v>2179.3999999999996</v>
      </c>
      <c r="F7" s="70">
        <f>'FEV-19'!O26</f>
        <v>0</v>
      </c>
      <c r="G7" s="70">
        <f>'FEV-19'!P28</f>
        <v>512.86789999999996</v>
      </c>
      <c r="H7" s="71">
        <f>'FEV-19'!Q26</f>
        <v>34513.099999999991</v>
      </c>
      <c r="I7" s="71">
        <f>'FEV-19'!R26</f>
        <v>11295.669999999998</v>
      </c>
      <c r="J7" s="80">
        <f t="shared" ref="J7:J17" si="0">D7+E7+F7+G7+H7+I7</f>
        <v>49754.61789999999</v>
      </c>
      <c r="K7" s="15"/>
      <c r="L7" s="82">
        <f>J7-'FEV-19'!S26</f>
        <v>0</v>
      </c>
      <c r="M7" s="15"/>
      <c r="N7" s="15"/>
    </row>
    <row r="8" spans="1:28" s="16" customFormat="1" ht="24.95" customHeight="1">
      <c r="A8" s="63"/>
      <c r="B8" s="68" t="s">
        <v>12</v>
      </c>
      <c r="C8" s="152" t="s">
        <v>73</v>
      </c>
      <c r="D8" s="70">
        <f>'MAR-19'!M34</f>
        <v>2145.65</v>
      </c>
      <c r="E8" s="70">
        <f>'MAR-19'!N34</f>
        <v>1890.1</v>
      </c>
      <c r="F8" s="70">
        <f>'MAR-19'!O34</f>
        <v>0</v>
      </c>
      <c r="G8" s="70">
        <f>'MAR-19'!P36</f>
        <v>887.73950000000002</v>
      </c>
      <c r="H8" s="71">
        <f>'MAR-19'!Q34</f>
        <v>43883.290000000008</v>
      </c>
      <c r="I8" s="71">
        <f>'MAR-19'!R34</f>
        <v>15339.580000000002</v>
      </c>
      <c r="J8" s="80">
        <f t="shared" si="0"/>
        <v>64146.359500000006</v>
      </c>
      <c r="K8" s="15"/>
      <c r="L8" s="82">
        <f>J8-'MAR-19'!S34</f>
        <v>0</v>
      </c>
      <c r="M8" s="15"/>
      <c r="N8" s="15"/>
    </row>
    <row r="9" spans="1:28" s="16" customFormat="1" ht="24.95" customHeight="1">
      <c r="A9" s="63"/>
      <c r="B9" s="67" t="s">
        <v>13</v>
      </c>
      <c r="C9" s="152" t="s">
        <v>73</v>
      </c>
      <c r="D9" s="70">
        <f>'ABR-19'!M26</f>
        <v>700.11</v>
      </c>
      <c r="E9" s="70">
        <f>'ABR-19'!N26</f>
        <v>1979.7800000000002</v>
      </c>
      <c r="F9" s="70">
        <f>'ABR-19'!O26</f>
        <v>0</v>
      </c>
      <c r="G9" s="70">
        <f>'ABR-19'!P28</f>
        <v>864.5397999999999</v>
      </c>
      <c r="H9" s="71">
        <f>'ABR-19'!Q26</f>
        <v>43149.66</v>
      </c>
      <c r="I9" s="71">
        <f>'ABR-19'!R26</f>
        <v>10346.02</v>
      </c>
      <c r="J9" s="80">
        <f t="shared" si="0"/>
        <v>57040.109800000006</v>
      </c>
      <c r="K9" s="15"/>
      <c r="L9" s="82">
        <f>J9-'ABR-19'!S26</f>
        <v>0</v>
      </c>
      <c r="M9" s="15"/>
      <c r="N9" s="15"/>
    </row>
    <row r="10" spans="1:28" s="16" customFormat="1" ht="24.95" customHeight="1">
      <c r="A10" s="63"/>
      <c r="B10" s="67" t="s">
        <v>14</v>
      </c>
      <c r="C10" s="152" t="s">
        <v>73</v>
      </c>
      <c r="D10" s="70">
        <f>'MAI-19'!M34</f>
        <v>930.56999999999982</v>
      </c>
      <c r="E10" s="70">
        <f>'MAI-19'!N34</f>
        <v>2863.28</v>
      </c>
      <c r="F10" s="70">
        <f>'MAI-19'!O34</f>
        <v>0</v>
      </c>
      <c r="G10" s="70">
        <f>'MAI-19'!P36</f>
        <v>4330.4356000000007</v>
      </c>
      <c r="H10" s="71">
        <f>'MAI-19'!Q34</f>
        <v>68277.210000000006</v>
      </c>
      <c r="I10" s="71">
        <f>'MAI-19'!R34</f>
        <v>42039.540000000008</v>
      </c>
      <c r="J10" s="80">
        <f t="shared" si="0"/>
        <v>118441.03560000002</v>
      </c>
      <c r="K10" s="15"/>
      <c r="L10" s="82">
        <f>J10-'MAI-19'!S34</f>
        <v>0</v>
      </c>
      <c r="M10" s="15"/>
      <c r="N10" s="15"/>
    </row>
    <row r="11" spans="1:28" s="16" customFormat="1" ht="24.95" customHeight="1">
      <c r="A11" s="63"/>
      <c r="B11" s="67" t="s">
        <v>15</v>
      </c>
      <c r="C11" s="152" t="s">
        <v>73</v>
      </c>
      <c r="D11" s="70">
        <f>'JUN-19'!M32</f>
        <v>1270.29</v>
      </c>
      <c r="E11" s="70">
        <f>'JUN-19'!N32</f>
        <v>1710.7</v>
      </c>
      <c r="F11" s="70">
        <f>'JUN-19'!O32</f>
        <v>0</v>
      </c>
      <c r="G11" s="70">
        <f>'JUN-19'!P34</f>
        <v>1018.9486000000001</v>
      </c>
      <c r="H11" s="71">
        <f>'JUN-19'!Q32</f>
        <v>43271.240000000005</v>
      </c>
      <c r="I11" s="71">
        <f>'JUN-19'!R32</f>
        <v>5749.3700000000008</v>
      </c>
      <c r="J11" s="80">
        <f t="shared" si="0"/>
        <v>53020.548600000009</v>
      </c>
      <c r="K11" s="15"/>
      <c r="L11" s="82">
        <f>J11-'JUN-19'!S32</f>
        <v>0</v>
      </c>
      <c r="M11" s="15"/>
      <c r="N11" s="15"/>
    </row>
    <row r="12" spans="1:28" s="16" customFormat="1" ht="24.95" customHeight="1">
      <c r="A12" s="63"/>
      <c r="B12" s="67" t="s">
        <v>16</v>
      </c>
      <c r="C12" s="152" t="s">
        <v>73</v>
      </c>
      <c r="D12" s="70">
        <f>'JUL-19'!M29</f>
        <v>826.1</v>
      </c>
      <c r="E12" s="70">
        <f>'JUL-19'!N29</f>
        <v>1034.3100000000002</v>
      </c>
      <c r="F12" s="70">
        <f>'JUL-19'!O29</f>
        <v>0</v>
      </c>
      <c r="G12" s="70">
        <f>'JUL-19'!P31</f>
        <v>725.98799999999994</v>
      </c>
      <c r="H12" s="71">
        <f>'JUL-19'!Q29</f>
        <v>42697.520000000004</v>
      </c>
      <c r="I12" s="71">
        <f>'JUL-19'!R29</f>
        <v>5471.35</v>
      </c>
      <c r="J12" s="80">
        <f t="shared" si="0"/>
        <v>50755.268000000004</v>
      </c>
      <c r="K12" s="15"/>
      <c r="L12" s="82">
        <f>J12-'JUL-19'!S29</f>
        <v>0</v>
      </c>
      <c r="M12" s="15"/>
      <c r="N12" s="15"/>
    </row>
    <row r="13" spans="1:28" s="16" customFormat="1" ht="24.95" customHeight="1">
      <c r="A13" s="63"/>
      <c r="B13" s="68" t="s">
        <v>17</v>
      </c>
      <c r="C13" s="152" t="s">
        <v>73</v>
      </c>
      <c r="D13" s="70">
        <f>'AGO-19'!N24</f>
        <v>1061.58</v>
      </c>
      <c r="E13" s="70">
        <f>'AGO-19'!O24</f>
        <v>1109.8</v>
      </c>
      <c r="F13" s="70">
        <f>'AGO-19'!P24</f>
        <v>0</v>
      </c>
      <c r="G13" s="70">
        <f>'AGO-19'!Q26</f>
        <v>714.46389999999997</v>
      </c>
      <c r="H13" s="71">
        <f>'AGO-19'!R24</f>
        <v>30584.920000000006</v>
      </c>
      <c r="I13" s="71">
        <f>'AGO-19'!S24</f>
        <v>6971.9500000000007</v>
      </c>
      <c r="J13" s="80">
        <f t="shared" si="0"/>
        <v>40442.713900000002</v>
      </c>
      <c r="K13" s="15"/>
      <c r="L13" s="82">
        <f>J13-'AGO-19'!T24</f>
        <v>0</v>
      </c>
      <c r="M13" s="15"/>
      <c r="N13" s="15"/>
    </row>
    <row r="14" spans="1:28" s="16" customFormat="1" ht="24.95" customHeight="1">
      <c r="A14" s="63"/>
      <c r="B14" s="68" t="s">
        <v>18</v>
      </c>
      <c r="C14" s="152" t="s">
        <v>73</v>
      </c>
      <c r="D14" s="70">
        <f>'SET-19'!M30</f>
        <v>1998.7700000000002</v>
      </c>
      <c r="E14" s="70">
        <f>'SET-19'!N30</f>
        <v>1911.95</v>
      </c>
      <c r="F14" s="70">
        <f>'SET-19'!O30</f>
        <v>0</v>
      </c>
      <c r="G14" s="70">
        <f>'SET-19'!P32</f>
        <v>31.491800000000001</v>
      </c>
      <c r="H14" s="71">
        <f>'SET-19'!Q30</f>
        <v>51055.07</v>
      </c>
      <c r="I14" s="71">
        <f>'SET-19'!R30</f>
        <v>9703.1999999999989</v>
      </c>
      <c r="J14" s="80">
        <f t="shared" si="0"/>
        <v>64700.481799999994</v>
      </c>
      <c r="K14" s="15"/>
      <c r="L14" s="82">
        <f>J14-'SET-19'!S30</f>
        <v>0</v>
      </c>
      <c r="M14" s="15"/>
      <c r="N14" s="15"/>
    </row>
    <row r="15" spans="1:28" s="16" customFormat="1" ht="24.95" customHeight="1">
      <c r="A15" s="63"/>
      <c r="B15" s="68" t="s">
        <v>19</v>
      </c>
      <c r="C15" s="219" t="s">
        <v>362</v>
      </c>
      <c r="D15" s="70">
        <f>'OUT-19'!M31</f>
        <v>1556.25</v>
      </c>
      <c r="E15" s="70">
        <f>'OUT-19'!N31</f>
        <v>4551.8600000000006</v>
      </c>
      <c r="F15" s="70">
        <f>'OUT-19'!O31</f>
        <v>0</v>
      </c>
      <c r="G15" s="70">
        <f>'OUT-19'!P33</f>
        <v>133.72400000000002</v>
      </c>
      <c r="H15" s="71">
        <f>'OUT-19'!Q31</f>
        <v>54443.329999999994</v>
      </c>
      <c r="I15" s="71">
        <f>'OUT-19'!R31</f>
        <v>29980.950000000004</v>
      </c>
      <c r="J15" s="80">
        <f t="shared" si="0"/>
        <v>90666.114000000001</v>
      </c>
      <c r="K15" s="15"/>
      <c r="L15" s="82">
        <f>J15-'OUT-19'!S31</f>
        <v>0</v>
      </c>
      <c r="M15" s="15"/>
      <c r="N15" s="15"/>
    </row>
    <row r="16" spans="1:28" s="16" customFormat="1" ht="24.95" customHeight="1">
      <c r="A16" s="63"/>
      <c r="B16" s="68" t="s">
        <v>20</v>
      </c>
      <c r="C16" s="219" t="s">
        <v>362</v>
      </c>
      <c r="D16" s="70">
        <f>'NOV-19'!M34</f>
        <v>1385.7199999999998</v>
      </c>
      <c r="E16" s="70">
        <f>'NOV-19'!N34</f>
        <v>2334.7500000000005</v>
      </c>
      <c r="F16" s="70">
        <f>'NOV-19'!O34</f>
        <v>0</v>
      </c>
      <c r="G16" s="70">
        <f>'NOV-19'!P36</f>
        <v>724.4932</v>
      </c>
      <c r="H16" s="71">
        <f>'NOV-19'!Q34</f>
        <v>52832.989999999976</v>
      </c>
      <c r="I16" s="71">
        <f>'NOV-19'!R34</f>
        <v>12656.86</v>
      </c>
      <c r="J16" s="80">
        <f t="shared" si="0"/>
        <v>69934.813199999975</v>
      </c>
      <c r="K16" s="15"/>
      <c r="L16" s="82">
        <f>J16-'NOV-19'!S34</f>
        <v>0</v>
      </c>
      <c r="M16" s="15"/>
      <c r="N16" s="15"/>
    </row>
    <row r="17" spans="1:14" s="16" customFormat="1" ht="24.95" customHeight="1" thickBot="1">
      <c r="A17" s="63"/>
      <c r="B17" s="69" t="s">
        <v>21</v>
      </c>
      <c r="C17" s="356" t="s">
        <v>362</v>
      </c>
      <c r="D17" s="72">
        <f>'DEZ-19'!M20</f>
        <v>72</v>
      </c>
      <c r="E17" s="72">
        <f>'DEZ-19'!N20</f>
        <v>269.8</v>
      </c>
      <c r="F17" s="72">
        <f>'DEZ-19'!O20</f>
        <v>0</v>
      </c>
      <c r="G17" s="72">
        <f>'DEZ-19'!P22</f>
        <v>212.1</v>
      </c>
      <c r="H17" s="73">
        <f>'DEZ-19'!Q20</f>
        <v>13991.060000000001</v>
      </c>
      <c r="I17" s="73">
        <f>'DEZ-19'!R20</f>
        <v>1500.5</v>
      </c>
      <c r="J17" s="148">
        <f t="shared" si="0"/>
        <v>16045.460000000001</v>
      </c>
      <c r="K17" s="15"/>
      <c r="L17" s="82">
        <f>J17-'DEZ-19'!S20</f>
        <v>0</v>
      </c>
      <c r="M17" s="15"/>
      <c r="N17" s="15"/>
    </row>
    <row r="18" spans="1:14" s="15" customFormat="1" ht="12.75" thickBot="1">
      <c r="A18" s="19"/>
      <c r="B18" s="19"/>
      <c r="C18" s="20"/>
      <c r="D18" s="21"/>
      <c r="E18" s="21"/>
      <c r="F18" s="25"/>
      <c r="G18" s="25"/>
      <c r="H18" s="27"/>
      <c r="I18" s="28"/>
      <c r="J18" s="29"/>
    </row>
    <row r="19" spans="1:14" s="30" customFormat="1" ht="16.5" thickBot="1">
      <c r="C19" s="79" t="s">
        <v>22</v>
      </c>
      <c r="D19" s="132">
        <f t="shared" ref="D19:I19" si="1">SUM(D6:D17)</f>
        <v>13752.89</v>
      </c>
      <c r="E19" s="133">
        <f t="shared" si="1"/>
        <v>23059.200000000001</v>
      </c>
      <c r="F19" s="77">
        <f t="shared" si="1"/>
        <v>0</v>
      </c>
      <c r="G19" s="77">
        <f t="shared" si="1"/>
        <v>10734.179000000002</v>
      </c>
      <c r="H19" s="78">
        <f t="shared" si="1"/>
        <v>502568.42499999999</v>
      </c>
      <c r="I19" s="78">
        <f t="shared" si="1"/>
        <v>157137.81</v>
      </c>
      <c r="J19" s="76"/>
    </row>
    <row r="20" spans="1:14" s="39" customFormat="1" ht="15.75">
      <c r="C20" s="40"/>
      <c r="D20" s="358"/>
      <c r="E20" s="358"/>
      <c r="F20" s="42"/>
      <c r="G20" s="42"/>
      <c r="J20" s="83"/>
    </row>
    <row r="21" spans="1:14" s="39" customFormat="1" ht="15.75">
      <c r="C21" s="40"/>
      <c r="D21" s="40"/>
      <c r="E21" s="44"/>
      <c r="F21" s="42"/>
      <c r="G21" s="42"/>
      <c r="H21" s="45"/>
      <c r="I21" s="43"/>
      <c r="J21" s="131"/>
    </row>
    <row r="22" spans="1:14" s="39" customFormat="1" ht="18.75" thickBot="1">
      <c r="C22" s="40"/>
      <c r="D22" s="359"/>
      <c r="E22" s="359"/>
      <c r="F22" s="42"/>
      <c r="G22" s="42"/>
      <c r="H22" s="81" t="s">
        <v>7</v>
      </c>
      <c r="I22" s="128">
        <f>D19+E19+F19+G19+H19+I19</f>
        <v>707252.50399999996</v>
      </c>
      <c r="J22" s="129"/>
    </row>
    <row r="23" spans="1:14" ht="16.5" thickBot="1">
      <c r="B23" s="2" t="s">
        <v>42</v>
      </c>
      <c r="C23" s="141"/>
      <c r="D23" s="142">
        <v>43846</v>
      </c>
      <c r="E23" s="50"/>
      <c r="J23" s="130"/>
    </row>
    <row r="24" spans="1:14">
      <c r="C24" s="48"/>
      <c r="D24" s="49"/>
      <c r="E24" s="50"/>
      <c r="J24" s="85" t="s">
        <v>24</v>
      </c>
    </row>
    <row r="25" spans="1:14" ht="15.75" thickBot="1">
      <c r="C25" s="48"/>
      <c r="D25" s="49"/>
      <c r="E25" s="50"/>
      <c r="J25" s="84">
        <f>I22-J6-J7-J8-J9-J10-J11-J12-J13-J14-J15-J16-J17</f>
        <v>2.0008883439004421E-11</v>
      </c>
    </row>
    <row r="26" spans="1:14">
      <c r="B26" s="135"/>
      <c r="C26" s="136"/>
      <c r="D26" s="136"/>
      <c r="E26" s="50"/>
    </row>
    <row r="27" spans="1:14">
      <c r="B27" s="135" t="s">
        <v>39</v>
      </c>
      <c r="C27" s="136"/>
      <c r="D27" s="136"/>
      <c r="E27" s="50"/>
    </row>
    <row r="28" spans="1:14">
      <c r="C28" s="48"/>
      <c r="D28" s="49"/>
      <c r="E28" s="50"/>
    </row>
    <row r="29" spans="1:14">
      <c r="B29" s="135" t="s">
        <v>40</v>
      </c>
      <c r="C29" s="136"/>
      <c r="D29" s="136"/>
      <c r="E29" s="137"/>
    </row>
    <row r="30" spans="1:14">
      <c r="B30" t="s">
        <v>37</v>
      </c>
      <c r="C30" s="48"/>
      <c r="E30" s="50"/>
    </row>
    <row r="31" spans="1:14">
      <c r="B31" t="s">
        <v>38</v>
      </c>
      <c r="C31" s="48"/>
      <c r="D31" s="49"/>
      <c r="E31" s="50"/>
    </row>
    <row r="32" spans="1:14">
      <c r="C32" s="48"/>
      <c r="D32" s="49"/>
      <c r="E32" s="50"/>
    </row>
    <row r="33" spans="3:10">
      <c r="C33" s="48"/>
      <c r="D33" s="49"/>
      <c r="E33" s="50"/>
    </row>
    <row r="34" spans="3:10">
      <c r="C34" s="48"/>
      <c r="D34" s="49"/>
      <c r="E34" s="50"/>
    </row>
    <row r="35" spans="3:10">
      <c r="C35" s="48"/>
      <c r="D35" s="49"/>
      <c r="E35" s="50"/>
    </row>
    <row r="36" spans="3:10">
      <c r="C36" s="48"/>
      <c r="D36" s="49"/>
      <c r="E36" s="50"/>
    </row>
    <row r="37" spans="3:10">
      <c r="C37" s="48"/>
      <c r="D37" s="49"/>
      <c r="E37" s="50"/>
      <c r="F37"/>
      <c r="G37"/>
      <c r="H37"/>
      <c r="I37"/>
      <c r="J37"/>
    </row>
    <row r="38" spans="3:10">
      <c r="C38" s="48"/>
      <c r="D38" s="49"/>
      <c r="E38" s="50"/>
      <c r="F38"/>
      <c r="G38"/>
      <c r="H38"/>
      <c r="I38"/>
      <c r="J38"/>
    </row>
    <row r="39" spans="3:10">
      <c r="C39" s="48"/>
      <c r="D39" s="49"/>
      <c r="E39" s="50"/>
      <c r="F39"/>
      <c r="G39"/>
      <c r="H39"/>
      <c r="I39"/>
      <c r="J39"/>
    </row>
    <row r="40" spans="3:10">
      <c r="C40" s="48"/>
      <c r="D40" s="49"/>
      <c r="E40" s="50"/>
      <c r="F40"/>
      <c r="G40"/>
      <c r="H40"/>
      <c r="I40"/>
      <c r="J40"/>
    </row>
    <row r="41" spans="3:10">
      <c r="C41" s="48"/>
      <c r="D41" s="49"/>
      <c r="E41" s="50"/>
      <c r="F41"/>
      <c r="G41"/>
      <c r="H41"/>
      <c r="I41"/>
      <c r="J41"/>
    </row>
    <row r="42" spans="3:10">
      <c r="C42" s="48"/>
      <c r="D42" s="49"/>
      <c r="E42" s="50"/>
      <c r="F42"/>
      <c r="G42"/>
      <c r="H42"/>
      <c r="I42"/>
      <c r="J42"/>
    </row>
    <row r="43" spans="3:10">
      <c r="C43" s="48"/>
      <c r="D43" s="49"/>
      <c r="E43" s="50"/>
      <c r="F43"/>
      <c r="G43"/>
      <c r="H43"/>
      <c r="I43"/>
      <c r="J43"/>
    </row>
    <row r="44" spans="3:10">
      <c r="C44" s="48"/>
      <c r="D44" s="49"/>
      <c r="E44" s="50"/>
      <c r="F44"/>
      <c r="G44"/>
      <c r="H44"/>
      <c r="I44"/>
      <c r="J44"/>
    </row>
    <row r="45" spans="3:10">
      <c r="C45" s="48"/>
      <c r="D45" s="49"/>
      <c r="E45" s="50"/>
      <c r="F45"/>
      <c r="G45"/>
      <c r="H45"/>
      <c r="I45"/>
      <c r="J45"/>
    </row>
    <row r="46" spans="3:10">
      <c r="C46" s="48"/>
      <c r="D46" s="49"/>
      <c r="E46" s="50"/>
      <c r="F46"/>
      <c r="G46"/>
      <c r="H46"/>
      <c r="I46"/>
      <c r="J46"/>
    </row>
    <row r="47" spans="3:10">
      <c r="C47" s="48"/>
      <c r="D47" s="49"/>
      <c r="E47" s="50"/>
      <c r="F47"/>
      <c r="G47"/>
      <c r="H47"/>
      <c r="I47"/>
      <c r="J47"/>
    </row>
    <row r="48" spans="3:10">
      <c r="C48" s="48"/>
      <c r="D48" s="49"/>
      <c r="E48" s="50"/>
      <c r="F48"/>
      <c r="G48"/>
      <c r="H48"/>
      <c r="I48"/>
      <c r="J48"/>
    </row>
    <row r="49" spans="3:10">
      <c r="C49" s="48"/>
      <c r="D49" s="49"/>
      <c r="E49" s="50"/>
      <c r="F49"/>
      <c r="G49"/>
      <c r="H49"/>
      <c r="I49"/>
      <c r="J49"/>
    </row>
    <row r="50" spans="3:10">
      <c r="C50" s="48"/>
      <c r="D50" s="49"/>
      <c r="E50" s="50"/>
      <c r="F50"/>
      <c r="G50"/>
      <c r="H50"/>
      <c r="I50"/>
      <c r="J50"/>
    </row>
    <row r="51" spans="3:10">
      <c r="C51" s="48"/>
      <c r="D51" s="49"/>
      <c r="E51" s="50"/>
      <c r="F51"/>
      <c r="G51"/>
      <c r="H51"/>
      <c r="I51"/>
      <c r="J51"/>
    </row>
    <row r="52" spans="3:10">
      <c r="C52" s="48"/>
      <c r="D52" s="49"/>
      <c r="E52" s="50"/>
      <c r="F52"/>
      <c r="G52"/>
      <c r="H52"/>
      <c r="I52"/>
      <c r="J52"/>
    </row>
    <row r="53" spans="3:10">
      <c r="C53" s="48"/>
      <c r="D53" s="49"/>
      <c r="E53" s="50"/>
      <c r="F53"/>
      <c r="G53"/>
      <c r="H53"/>
      <c r="I53"/>
      <c r="J53"/>
    </row>
    <row r="54" spans="3:10">
      <c r="C54" s="48"/>
      <c r="D54" s="49"/>
      <c r="E54" s="50"/>
      <c r="F54"/>
      <c r="G54"/>
      <c r="H54"/>
      <c r="I54"/>
      <c r="J54"/>
    </row>
    <row r="55" spans="3:10">
      <c r="C55" s="48"/>
      <c r="D55" s="49"/>
      <c r="E55" s="50"/>
      <c r="F55"/>
      <c r="G55"/>
      <c r="H55"/>
      <c r="I55"/>
      <c r="J55"/>
    </row>
    <row r="56" spans="3:10">
      <c r="C56" s="48"/>
      <c r="D56" s="49"/>
      <c r="E56" s="50"/>
      <c r="F56"/>
      <c r="G56"/>
      <c r="H56"/>
      <c r="I56"/>
      <c r="J56"/>
    </row>
    <row r="57" spans="3:10">
      <c r="C57" s="48"/>
      <c r="D57" s="49"/>
      <c r="E57" s="50"/>
      <c r="F57"/>
      <c r="G57"/>
      <c r="H57"/>
      <c r="I57"/>
      <c r="J57"/>
    </row>
    <row r="58" spans="3:10">
      <c r="C58" s="48"/>
      <c r="D58" s="49"/>
      <c r="E58" s="50"/>
      <c r="F58"/>
      <c r="G58"/>
      <c r="H58"/>
      <c r="I58"/>
      <c r="J58"/>
    </row>
    <row r="59" spans="3:10">
      <c r="C59" s="48"/>
      <c r="D59" s="49"/>
      <c r="E59" s="50"/>
      <c r="F59"/>
      <c r="G59"/>
      <c r="H59"/>
      <c r="I59"/>
      <c r="J59"/>
    </row>
    <row r="60" spans="3:10">
      <c r="C60" s="48"/>
      <c r="D60" s="49"/>
      <c r="E60" s="50"/>
      <c r="F60"/>
      <c r="G60"/>
      <c r="H60"/>
      <c r="I60"/>
      <c r="J60"/>
    </row>
    <row r="61" spans="3:10">
      <c r="C61" s="48"/>
      <c r="D61" s="49"/>
      <c r="E61" s="50"/>
      <c r="F61"/>
      <c r="G61"/>
      <c r="H61"/>
      <c r="I61"/>
      <c r="J61"/>
    </row>
    <row r="62" spans="3:10">
      <c r="C62" s="48"/>
      <c r="D62" s="49"/>
      <c r="E62" s="50"/>
      <c r="F62"/>
      <c r="G62"/>
      <c r="H62"/>
      <c r="I62"/>
      <c r="J62"/>
    </row>
    <row r="63" spans="3:10">
      <c r="C63" s="48"/>
      <c r="D63" s="49"/>
      <c r="E63" s="50"/>
      <c r="F63"/>
      <c r="G63"/>
      <c r="H63"/>
      <c r="I63"/>
      <c r="J63"/>
    </row>
    <row r="64" spans="3:10">
      <c r="C64" s="48"/>
      <c r="D64" s="49"/>
      <c r="E64" s="50"/>
      <c r="F64"/>
      <c r="G64"/>
      <c r="H64"/>
      <c r="I64"/>
      <c r="J64"/>
    </row>
    <row r="65" spans="3:10">
      <c r="C65" s="48"/>
      <c r="D65" s="49"/>
      <c r="E65" s="50"/>
      <c r="F65"/>
      <c r="G65"/>
      <c r="H65"/>
      <c r="I65"/>
      <c r="J65"/>
    </row>
    <row r="66" spans="3:10">
      <c r="C66" s="48"/>
      <c r="D66" s="49"/>
      <c r="E66" s="50"/>
      <c r="F66"/>
      <c r="G66"/>
      <c r="H66"/>
      <c r="I66"/>
      <c r="J66"/>
    </row>
    <row r="67" spans="3:10">
      <c r="C67" s="48"/>
      <c r="D67" s="49"/>
      <c r="E67" s="50"/>
      <c r="F67"/>
      <c r="G67"/>
      <c r="H67"/>
      <c r="I67"/>
      <c r="J67"/>
    </row>
    <row r="68" spans="3:10">
      <c r="C68" s="48"/>
      <c r="D68" s="49"/>
      <c r="E68" s="50"/>
      <c r="F68"/>
      <c r="G68"/>
      <c r="H68"/>
      <c r="I68"/>
      <c r="J68"/>
    </row>
    <row r="69" spans="3:10">
      <c r="C69" s="48"/>
      <c r="D69" s="49"/>
      <c r="E69" s="50"/>
      <c r="F69"/>
      <c r="G69"/>
      <c r="H69"/>
      <c r="I69"/>
      <c r="J69"/>
    </row>
    <row r="70" spans="3:10">
      <c r="C70" s="48"/>
      <c r="D70" s="49"/>
      <c r="E70" s="50"/>
      <c r="F70"/>
      <c r="G70"/>
      <c r="H70"/>
      <c r="I70"/>
      <c r="J70"/>
    </row>
    <row r="71" spans="3:10">
      <c r="C71" s="48"/>
      <c r="D71" s="49"/>
      <c r="E71" s="50"/>
      <c r="F71"/>
      <c r="G71"/>
      <c r="H71"/>
      <c r="I71"/>
      <c r="J71"/>
    </row>
    <row r="72" spans="3:10">
      <c r="C72" s="48"/>
      <c r="D72" s="49"/>
      <c r="E72" s="50"/>
      <c r="F72"/>
      <c r="G72"/>
      <c r="H72"/>
      <c r="I72"/>
      <c r="J72"/>
    </row>
    <row r="73" spans="3:10">
      <c r="C73" s="48"/>
      <c r="D73" s="49"/>
      <c r="E73" s="50"/>
      <c r="F73"/>
      <c r="G73"/>
      <c r="H73"/>
      <c r="I73"/>
      <c r="J73"/>
    </row>
    <row r="74" spans="3:10">
      <c r="C74" s="48"/>
      <c r="D74" s="49"/>
      <c r="E74" s="50"/>
      <c r="F74"/>
      <c r="G74"/>
      <c r="H74"/>
      <c r="I74"/>
      <c r="J74"/>
    </row>
    <row r="75" spans="3:10">
      <c r="C75" s="48"/>
      <c r="D75" s="49"/>
      <c r="E75" s="50"/>
      <c r="F75"/>
      <c r="G75"/>
      <c r="H75"/>
      <c r="I75"/>
      <c r="J75"/>
    </row>
    <row r="76" spans="3:10">
      <c r="C76" s="48"/>
      <c r="D76" s="49"/>
      <c r="E76" s="50"/>
      <c r="F76"/>
      <c r="G76"/>
      <c r="H76"/>
      <c r="I76"/>
      <c r="J76"/>
    </row>
    <row r="77" spans="3:10">
      <c r="C77" s="48"/>
      <c r="D77" s="49"/>
      <c r="E77" s="50"/>
      <c r="F77"/>
      <c r="G77"/>
      <c r="H77"/>
      <c r="I77"/>
      <c r="J77"/>
    </row>
    <row r="78" spans="3:10">
      <c r="C78" s="48"/>
      <c r="D78" s="49"/>
      <c r="E78" s="50"/>
      <c r="F78"/>
      <c r="G78"/>
      <c r="H78"/>
      <c r="I78"/>
      <c r="J78"/>
    </row>
    <row r="79" spans="3:10">
      <c r="C79" s="48"/>
      <c r="D79" s="49"/>
      <c r="E79" s="50"/>
      <c r="F79"/>
      <c r="G79"/>
      <c r="H79"/>
      <c r="I79"/>
      <c r="J79"/>
    </row>
    <row r="80" spans="3:10">
      <c r="C80" s="48"/>
      <c r="D80" s="49"/>
      <c r="E80" s="50"/>
      <c r="F80"/>
      <c r="G80"/>
      <c r="H80"/>
      <c r="I80"/>
      <c r="J80"/>
    </row>
    <row r="81" spans="3:10">
      <c r="C81" s="48"/>
      <c r="D81" s="49"/>
      <c r="E81" s="50"/>
      <c r="F81"/>
      <c r="G81"/>
      <c r="H81"/>
      <c r="I81"/>
      <c r="J81"/>
    </row>
    <row r="82" spans="3:10">
      <c r="C82" s="48"/>
      <c r="D82" s="49"/>
      <c r="E82" s="50"/>
      <c r="F82"/>
      <c r="G82"/>
      <c r="H82"/>
      <c r="I82"/>
      <c r="J82"/>
    </row>
    <row r="83" spans="3:10">
      <c r="C83" s="48"/>
      <c r="D83" s="49"/>
      <c r="E83" s="50"/>
      <c r="F83"/>
      <c r="G83"/>
      <c r="H83"/>
      <c r="I83"/>
      <c r="J83"/>
    </row>
    <row r="84" spans="3:10">
      <c r="C84" s="48"/>
      <c r="D84" s="49"/>
      <c r="E84" s="50"/>
      <c r="F84"/>
      <c r="G84"/>
      <c r="H84"/>
      <c r="I84"/>
      <c r="J84"/>
    </row>
    <row r="85" spans="3:10">
      <c r="C85" s="48"/>
      <c r="D85" s="49"/>
      <c r="E85" s="50"/>
      <c r="F85"/>
      <c r="G85"/>
      <c r="H85"/>
      <c r="I85"/>
      <c r="J85"/>
    </row>
    <row r="86" spans="3:10">
      <c r="C86" s="48"/>
      <c r="D86" s="49"/>
      <c r="E86" s="50"/>
      <c r="F86"/>
      <c r="G86"/>
      <c r="H86"/>
      <c r="I86"/>
      <c r="J86"/>
    </row>
    <row r="87" spans="3:10">
      <c r="C87" s="48"/>
      <c r="D87" s="49"/>
      <c r="E87" s="50"/>
      <c r="F87"/>
      <c r="G87"/>
      <c r="H87"/>
      <c r="I87"/>
      <c r="J87"/>
    </row>
    <row r="88" spans="3:10">
      <c r="C88" s="48"/>
      <c r="D88" s="49"/>
      <c r="E88" s="50"/>
      <c r="F88"/>
      <c r="G88"/>
      <c r="H88"/>
      <c r="I88"/>
      <c r="J88"/>
    </row>
    <row r="89" spans="3:10">
      <c r="C89" s="48"/>
      <c r="D89" s="49"/>
      <c r="E89" s="50"/>
      <c r="F89"/>
      <c r="G89"/>
      <c r="H89"/>
      <c r="I89"/>
      <c r="J89"/>
    </row>
    <row r="90" spans="3:10">
      <c r="C90" s="48"/>
      <c r="D90" s="49"/>
      <c r="E90" s="50"/>
      <c r="F90"/>
      <c r="G90"/>
      <c r="H90"/>
      <c r="I90"/>
      <c r="J90"/>
    </row>
    <row r="91" spans="3:10">
      <c r="C91" s="48"/>
      <c r="D91" s="49"/>
      <c r="E91" s="50"/>
      <c r="F91"/>
      <c r="G91"/>
      <c r="H91"/>
      <c r="I91"/>
      <c r="J91"/>
    </row>
    <row r="92" spans="3:10">
      <c r="C92" s="48"/>
      <c r="D92" s="49"/>
      <c r="E92" s="50"/>
      <c r="F92"/>
      <c r="G92"/>
      <c r="H92"/>
      <c r="I92"/>
      <c r="J92"/>
    </row>
    <row r="93" spans="3:10">
      <c r="C93" s="48"/>
      <c r="D93" s="49"/>
      <c r="E93" s="50"/>
      <c r="F93"/>
      <c r="G93"/>
      <c r="H93"/>
      <c r="I93"/>
      <c r="J93"/>
    </row>
    <row r="94" spans="3:10">
      <c r="C94" s="48"/>
      <c r="D94" s="49"/>
      <c r="E94" s="50"/>
      <c r="F94"/>
      <c r="G94"/>
      <c r="H94"/>
      <c r="I94"/>
      <c r="J94"/>
    </row>
    <row r="95" spans="3:10">
      <c r="C95" s="48"/>
      <c r="D95" s="49"/>
      <c r="E95" s="50"/>
      <c r="F95"/>
      <c r="G95"/>
      <c r="H95"/>
      <c r="I95"/>
      <c r="J95"/>
    </row>
    <row r="96" spans="3:10">
      <c r="C96" s="48"/>
      <c r="D96" s="49"/>
      <c r="E96" s="50"/>
      <c r="F96"/>
      <c r="G96"/>
      <c r="H96"/>
      <c r="I96"/>
      <c r="J96"/>
    </row>
    <row r="97" spans="3:10">
      <c r="C97" s="48"/>
      <c r="D97" s="49"/>
      <c r="E97" s="50"/>
      <c r="F97"/>
      <c r="G97"/>
      <c r="H97"/>
      <c r="I97"/>
      <c r="J97"/>
    </row>
    <row r="98" spans="3:10">
      <c r="C98" s="48"/>
      <c r="D98" s="49"/>
      <c r="E98" s="50"/>
      <c r="F98"/>
      <c r="G98"/>
      <c r="H98"/>
      <c r="I98"/>
      <c r="J98"/>
    </row>
    <row r="99" spans="3:10">
      <c r="C99" s="48"/>
      <c r="D99" s="49"/>
      <c r="E99" s="50"/>
      <c r="F99"/>
      <c r="G99"/>
      <c r="H99"/>
      <c r="I99"/>
      <c r="J99"/>
    </row>
    <row r="100" spans="3:10">
      <c r="C100" s="48"/>
      <c r="D100" s="49"/>
      <c r="E100" s="50"/>
      <c r="F100"/>
      <c r="G100"/>
      <c r="H100"/>
      <c r="I100"/>
      <c r="J100"/>
    </row>
  </sheetData>
  <sheetProtection password="EFEB" sheet="1" objects="1" scenarios="1"/>
  <mergeCells count="5">
    <mergeCell ref="A2:J2"/>
    <mergeCell ref="D20:E20"/>
    <mergeCell ref="D22:E22"/>
    <mergeCell ref="D4:F4"/>
    <mergeCell ref="H4:I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B1:AK112"/>
  <sheetViews>
    <sheetView topLeftCell="H1" workbookViewId="0">
      <selection activeCell="J32" sqref="J32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38.85546875" customWidth="1"/>
    <col min="9" max="9" width="25.5703125" style="2" customWidth="1"/>
    <col min="10" max="11" width="9.140625" style="3"/>
    <col min="12" max="12" width="9.7109375" style="3" bestFit="1" customWidth="1"/>
    <col min="13" max="15" width="14.140625" style="4" customWidth="1"/>
    <col min="16" max="16" width="13.5703125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140625" customWidth="1"/>
    <col min="255" max="255" width="13.1406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5" width="14.140625" customWidth="1"/>
    <col min="266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140625" customWidth="1"/>
    <col min="511" max="511" width="13.1406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1" width="14.140625" customWidth="1"/>
    <col min="522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140625" customWidth="1"/>
    <col min="767" max="767" width="13.1406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7" width="14.140625" customWidth="1"/>
    <col min="778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140625" customWidth="1"/>
    <col min="1023" max="1023" width="13.1406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3" width="14.140625" customWidth="1"/>
    <col min="1034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140625" customWidth="1"/>
    <col min="1279" max="1279" width="13.1406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9" width="14.140625" customWidth="1"/>
    <col min="1290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140625" customWidth="1"/>
    <col min="1535" max="1535" width="13.1406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5" width="14.140625" customWidth="1"/>
    <col min="1546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140625" customWidth="1"/>
    <col min="1791" max="1791" width="13.1406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1" width="14.140625" customWidth="1"/>
    <col min="1802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140625" customWidth="1"/>
    <col min="2047" max="2047" width="13.1406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7" width="14.140625" customWidth="1"/>
    <col min="2058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140625" customWidth="1"/>
    <col min="2303" max="2303" width="13.1406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3" width="14.140625" customWidth="1"/>
    <col min="2314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140625" customWidth="1"/>
    <col min="2559" max="2559" width="13.1406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9" width="14.140625" customWidth="1"/>
    <col min="2570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140625" customWidth="1"/>
    <col min="2815" max="2815" width="13.1406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5" width="14.140625" customWidth="1"/>
    <col min="2826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140625" customWidth="1"/>
    <col min="3071" max="3071" width="13.1406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1" width="14.140625" customWidth="1"/>
    <col min="3082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140625" customWidth="1"/>
    <col min="3327" max="3327" width="13.1406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7" width="14.140625" customWidth="1"/>
    <col min="3338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140625" customWidth="1"/>
    <col min="3583" max="3583" width="13.1406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3" width="14.140625" customWidth="1"/>
    <col min="3594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140625" customWidth="1"/>
    <col min="3839" max="3839" width="13.1406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9" width="14.140625" customWidth="1"/>
    <col min="3850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140625" customWidth="1"/>
    <col min="4095" max="4095" width="13.1406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5" width="14.140625" customWidth="1"/>
    <col min="4106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140625" customWidth="1"/>
    <col min="4351" max="4351" width="13.1406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1" width="14.140625" customWidth="1"/>
    <col min="4362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140625" customWidth="1"/>
    <col min="4607" max="4607" width="13.1406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7" width="14.140625" customWidth="1"/>
    <col min="4618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140625" customWidth="1"/>
    <col min="4863" max="4863" width="13.1406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3" width="14.140625" customWidth="1"/>
    <col min="4874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140625" customWidth="1"/>
    <col min="5119" max="5119" width="13.1406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9" width="14.140625" customWidth="1"/>
    <col min="5130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140625" customWidth="1"/>
    <col min="5375" max="5375" width="13.1406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5" width="14.140625" customWidth="1"/>
    <col min="5386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140625" customWidth="1"/>
    <col min="5631" max="5631" width="13.1406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1" width="14.140625" customWidth="1"/>
    <col min="5642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140625" customWidth="1"/>
    <col min="5887" max="5887" width="13.1406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7" width="14.140625" customWidth="1"/>
    <col min="5898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140625" customWidth="1"/>
    <col min="6143" max="6143" width="13.1406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3" width="14.140625" customWidth="1"/>
    <col min="6154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140625" customWidth="1"/>
    <col min="6399" max="6399" width="13.1406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9" width="14.140625" customWidth="1"/>
    <col min="6410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140625" customWidth="1"/>
    <col min="6655" max="6655" width="13.1406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5" width="14.140625" customWidth="1"/>
    <col min="6666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140625" customWidth="1"/>
    <col min="6911" max="6911" width="13.1406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1" width="14.140625" customWidth="1"/>
    <col min="6922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140625" customWidth="1"/>
    <col min="7167" max="7167" width="13.1406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7" width="14.140625" customWidth="1"/>
    <col min="7178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140625" customWidth="1"/>
    <col min="7423" max="7423" width="13.1406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3" width="14.140625" customWidth="1"/>
    <col min="7434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140625" customWidth="1"/>
    <col min="7679" max="7679" width="13.1406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9" width="14.140625" customWidth="1"/>
    <col min="7690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140625" customWidth="1"/>
    <col min="7935" max="7935" width="13.1406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5" width="14.140625" customWidth="1"/>
    <col min="7946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140625" customWidth="1"/>
    <col min="8191" max="8191" width="13.1406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1" width="14.140625" customWidth="1"/>
    <col min="8202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140625" customWidth="1"/>
    <col min="8447" max="8447" width="13.1406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7" width="14.140625" customWidth="1"/>
    <col min="8458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140625" customWidth="1"/>
    <col min="8703" max="8703" width="13.1406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3" width="14.140625" customWidth="1"/>
    <col min="8714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140625" customWidth="1"/>
    <col min="8959" max="8959" width="13.1406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9" width="14.140625" customWidth="1"/>
    <col min="8970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140625" customWidth="1"/>
    <col min="9215" max="9215" width="13.1406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5" width="14.140625" customWidth="1"/>
    <col min="9226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140625" customWidth="1"/>
    <col min="9471" max="9471" width="13.1406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1" width="14.140625" customWidth="1"/>
    <col min="9482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140625" customWidth="1"/>
    <col min="9727" max="9727" width="13.1406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7" width="14.140625" customWidth="1"/>
    <col min="9738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140625" customWidth="1"/>
    <col min="9983" max="9983" width="13.1406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3" width="14.140625" customWidth="1"/>
    <col min="9994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140625" customWidth="1"/>
    <col min="10239" max="10239" width="13.1406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9" width="14.140625" customWidth="1"/>
    <col min="10250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140625" customWidth="1"/>
    <col min="10495" max="10495" width="13.1406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5" width="14.140625" customWidth="1"/>
    <col min="10506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140625" customWidth="1"/>
    <col min="10751" max="10751" width="13.1406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1" width="14.140625" customWidth="1"/>
    <col min="10762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140625" customWidth="1"/>
    <col min="11007" max="11007" width="13.1406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7" width="14.140625" customWidth="1"/>
    <col min="11018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140625" customWidth="1"/>
    <col min="11263" max="11263" width="13.1406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3" width="14.140625" customWidth="1"/>
    <col min="11274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140625" customWidth="1"/>
    <col min="11519" max="11519" width="13.1406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9" width="14.140625" customWidth="1"/>
    <col min="11530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140625" customWidth="1"/>
    <col min="11775" max="11775" width="13.1406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5" width="14.140625" customWidth="1"/>
    <col min="11786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140625" customWidth="1"/>
    <col min="12031" max="12031" width="13.1406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1" width="14.140625" customWidth="1"/>
    <col min="12042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140625" customWidth="1"/>
    <col min="12287" max="12287" width="13.1406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7" width="14.140625" customWidth="1"/>
    <col min="12298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140625" customWidth="1"/>
    <col min="12543" max="12543" width="13.1406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3" width="14.140625" customWidth="1"/>
    <col min="12554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140625" customWidth="1"/>
    <col min="12799" max="12799" width="13.1406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9" width="14.140625" customWidth="1"/>
    <col min="12810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140625" customWidth="1"/>
    <col min="13055" max="13055" width="13.1406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5" width="14.140625" customWidth="1"/>
    <col min="13066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140625" customWidth="1"/>
    <col min="13311" max="13311" width="13.1406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1" width="14.140625" customWidth="1"/>
    <col min="13322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140625" customWidth="1"/>
    <col min="13567" max="13567" width="13.1406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7" width="14.140625" customWidth="1"/>
    <col min="13578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140625" customWidth="1"/>
    <col min="13823" max="13823" width="13.1406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3" width="14.140625" customWidth="1"/>
    <col min="13834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140625" customWidth="1"/>
    <col min="14079" max="14079" width="13.1406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9" width="14.140625" customWidth="1"/>
    <col min="14090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140625" customWidth="1"/>
    <col min="14335" max="14335" width="13.1406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5" width="14.140625" customWidth="1"/>
    <col min="14346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140625" customWidth="1"/>
    <col min="14591" max="14591" width="13.1406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1" width="14.140625" customWidth="1"/>
    <col min="14602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140625" customWidth="1"/>
    <col min="14847" max="14847" width="13.1406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7" width="14.140625" customWidth="1"/>
    <col min="14858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140625" customWidth="1"/>
    <col min="15103" max="15103" width="13.1406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3" width="14.140625" customWidth="1"/>
    <col min="15114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140625" customWidth="1"/>
    <col min="15359" max="15359" width="13.1406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9" width="14.140625" customWidth="1"/>
    <col min="15370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140625" customWidth="1"/>
    <col min="15615" max="15615" width="13.1406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5" width="14.140625" customWidth="1"/>
    <col min="15626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140625" customWidth="1"/>
    <col min="15871" max="15871" width="13.1406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1" width="14.140625" customWidth="1"/>
    <col min="15882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140625" customWidth="1"/>
    <col min="16127" max="16127" width="13.1406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7" width="14.140625" customWidth="1"/>
    <col min="16138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1" spans="2:37" ht="24.75" customHeight="1"/>
    <row r="2" spans="2:37" s="7" customFormat="1" ht="24.75" customHeight="1" thickBot="1">
      <c r="B2" s="357" t="s">
        <v>174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65"/>
      <c r="N2" s="365"/>
      <c r="O2" s="365"/>
      <c r="P2" s="365"/>
      <c r="Q2" s="365"/>
      <c r="R2" s="365"/>
      <c r="S2" s="365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2:37" s="7" customFormat="1" ht="32.25" customHeight="1" thickBot="1">
      <c r="B3" s="86"/>
      <c r="C3" s="86"/>
      <c r="D3" s="86"/>
      <c r="E3" s="311"/>
      <c r="F3" s="162"/>
      <c r="G3" s="162"/>
      <c r="H3" s="162"/>
      <c r="I3" s="86"/>
      <c r="J3" s="86"/>
      <c r="K3" s="86"/>
      <c r="L3" s="126"/>
      <c r="M3" s="372" t="s">
        <v>26</v>
      </c>
      <c r="N3" s="373"/>
      <c r="O3" s="374"/>
      <c r="P3" s="90" t="s">
        <v>33</v>
      </c>
      <c r="Q3" s="373" t="s">
        <v>34</v>
      </c>
      <c r="R3" s="373"/>
      <c r="S3" s="374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2:37" ht="38.25" customHeight="1" thickBot="1">
      <c r="B4" s="158" t="s">
        <v>0</v>
      </c>
      <c r="C4" s="192" t="s">
        <v>165</v>
      </c>
      <c r="D4" s="312" t="s">
        <v>1</v>
      </c>
      <c r="E4" s="158" t="s">
        <v>481</v>
      </c>
      <c r="F4" s="158" t="s">
        <v>115</v>
      </c>
      <c r="G4" s="185" t="s">
        <v>164</v>
      </c>
      <c r="H4" s="158" t="s">
        <v>116</v>
      </c>
      <c r="I4" s="158" t="s">
        <v>2</v>
      </c>
      <c r="J4" s="375" t="s">
        <v>3</v>
      </c>
      <c r="K4" s="375"/>
      <c r="L4" s="376"/>
      <c r="M4" s="154" t="s">
        <v>27</v>
      </c>
      <c r="N4" s="171" t="s">
        <v>28</v>
      </c>
      <c r="O4" s="176" t="s">
        <v>29</v>
      </c>
      <c r="P4" s="172" t="s">
        <v>27</v>
      </c>
      <c r="Q4" s="173" t="s">
        <v>4</v>
      </c>
      <c r="R4" s="175" t="s">
        <v>5</v>
      </c>
      <c r="S4" s="174" t="s">
        <v>6</v>
      </c>
    </row>
    <row r="5" spans="2:37" s="16" customFormat="1" ht="24.75" customHeight="1">
      <c r="B5" s="92">
        <v>1</v>
      </c>
      <c r="C5" s="318" t="s">
        <v>728</v>
      </c>
      <c r="D5" s="319" t="s">
        <v>212</v>
      </c>
      <c r="E5" s="320" t="s">
        <v>520</v>
      </c>
      <c r="F5" s="166" t="s">
        <v>213</v>
      </c>
      <c r="G5" s="321" t="s">
        <v>775</v>
      </c>
      <c r="H5" s="322" t="str">
        <f>UPPER(G5)</f>
        <v>MINISTRAR TREINAMENTO AGHUSE - MÓDULO COMPRAS</v>
      </c>
      <c r="I5" s="319" t="s">
        <v>72</v>
      </c>
      <c r="J5" s="327">
        <v>43709</v>
      </c>
      <c r="K5" s="328">
        <v>9</v>
      </c>
      <c r="L5" s="329">
        <v>11</v>
      </c>
      <c r="M5" s="323">
        <v>160.63</v>
      </c>
      <c r="N5" s="323">
        <v>181.26</v>
      </c>
      <c r="O5" s="323"/>
      <c r="P5" s="324"/>
      <c r="Q5" s="325">
        <f>1109.08+697.98</f>
        <v>1807.06</v>
      </c>
      <c r="R5" s="326">
        <f>470.4+135</f>
        <v>605.4</v>
      </c>
      <c r="S5" s="153">
        <f t="shared" ref="S5:S29" si="0">M5+N5+O5+P5+Q5+R5</f>
        <v>2754.35</v>
      </c>
      <c r="T5" s="15"/>
      <c r="U5" s="15"/>
      <c r="V5" s="15"/>
      <c r="W5" s="15"/>
    </row>
    <row r="6" spans="2:37" s="16" customFormat="1" ht="24" customHeight="1">
      <c r="B6" s="92">
        <v>2</v>
      </c>
      <c r="C6" s="189" t="s">
        <v>729</v>
      </c>
      <c r="D6" s="10" t="s">
        <v>237</v>
      </c>
      <c r="E6" s="238" t="s">
        <v>525</v>
      </c>
      <c r="F6" s="164" t="s">
        <v>751</v>
      </c>
      <c r="G6" s="210" t="s">
        <v>776</v>
      </c>
      <c r="H6" s="9" t="str">
        <f>UPPER(G6)</f>
        <v>MINISTRAR TREINAMENTO AGHUSE - MÓDULO ESTOQUE</v>
      </c>
      <c r="I6" s="10" t="s">
        <v>72</v>
      </c>
      <c r="J6" s="198">
        <v>43709</v>
      </c>
      <c r="K6" s="199">
        <v>10</v>
      </c>
      <c r="L6" s="200">
        <v>13</v>
      </c>
      <c r="M6" s="57">
        <v>268.67</v>
      </c>
      <c r="N6" s="57">
        <v>286.58999999999997</v>
      </c>
      <c r="O6" s="57"/>
      <c r="P6" s="54"/>
      <c r="Q6" s="315">
        <v>2085.96</v>
      </c>
      <c r="R6" s="313">
        <f>705.6+78</f>
        <v>783.6</v>
      </c>
      <c r="S6" s="93">
        <f t="shared" si="0"/>
        <v>3424.82</v>
      </c>
      <c r="T6" s="15"/>
      <c r="U6" s="15"/>
      <c r="V6" s="15"/>
      <c r="W6" s="15"/>
    </row>
    <row r="7" spans="2:37" s="16" customFormat="1" ht="24" customHeight="1">
      <c r="B7" s="94">
        <v>3</v>
      </c>
      <c r="C7" s="189" t="s">
        <v>730</v>
      </c>
      <c r="D7" s="10" t="s">
        <v>466</v>
      </c>
      <c r="E7" s="238" t="s">
        <v>522</v>
      </c>
      <c r="F7" s="164" t="s">
        <v>219</v>
      </c>
      <c r="G7" s="210" t="s">
        <v>777</v>
      </c>
      <c r="H7" s="9" t="str">
        <f t="shared" ref="H7:H29" si="1">UPPER(G7)</f>
        <v>MINISTRAR TREINAMENTO AGHUSE - MÓDULO FARMÁCIA</v>
      </c>
      <c r="I7" s="10" t="s">
        <v>72</v>
      </c>
      <c r="J7" s="198">
        <v>43709</v>
      </c>
      <c r="K7" s="199">
        <v>16</v>
      </c>
      <c r="L7" s="200">
        <v>19</v>
      </c>
      <c r="M7" s="57">
        <v>217.62</v>
      </c>
      <c r="N7" s="57">
        <v>93.2</v>
      </c>
      <c r="O7" s="57"/>
      <c r="P7" s="54"/>
      <c r="Q7" s="315">
        <v>2401.96</v>
      </c>
      <c r="R7" s="313">
        <f>705.6+385</f>
        <v>1090.5999999999999</v>
      </c>
      <c r="S7" s="93">
        <f t="shared" si="0"/>
        <v>3803.38</v>
      </c>
      <c r="T7" s="15"/>
      <c r="U7" s="15"/>
      <c r="V7" s="15"/>
      <c r="W7" s="15"/>
    </row>
    <row r="8" spans="2:37" s="16" customFormat="1" ht="24.75" customHeight="1">
      <c r="B8" s="92">
        <v>4</v>
      </c>
      <c r="C8" s="189" t="s">
        <v>731</v>
      </c>
      <c r="D8" s="9" t="s">
        <v>95</v>
      </c>
      <c r="E8" s="238" t="s">
        <v>501</v>
      </c>
      <c r="F8" s="164" t="s">
        <v>752</v>
      </c>
      <c r="G8" s="210" t="s">
        <v>778</v>
      </c>
      <c r="H8" s="9" t="str">
        <f t="shared" si="1"/>
        <v>MINISTRAR TREINAMENTO AGHUSE - MÓDULO AMBULATÓRIO ADMINISTRATIVO</v>
      </c>
      <c r="I8" s="9" t="s">
        <v>103</v>
      </c>
      <c r="J8" s="198">
        <v>43709</v>
      </c>
      <c r="K8" s="199">
        <v>16</v>
      </c>
      <c r="L8" s="200">
        <v>19</v>
      </c>
      <c r="M8" s="57">
        <v>131.91</v>
      </c>
      <c r="N8" s="57">
        <v>199.9</v>
      </c>
      <c r="O8" s="57"/>
      <c r="P8" s="54"/>
      <c r="Q8" s="13">
        <v>1692.03</v>
      </c>
      <c r="R8" s="14">
        <f>587.52+106</f>
        <v>693.52</v>
      </c>
      <c r="S8" s="93">
        <f t="shared" si="0"/>
        <v>2717.3599999999997</v>
      </c>
      <c r="T8" s="15"/>
      <c r="U8" s="15"/>
      <c r="V8" s="15"/>
      <c r="W8" s="15"/>
    </row>
    <row r="9" spans="2:37" s="16" customFormat="1" ht="34.5" customHeight="1">
      <c r="B9" s="92">
        <v>5</v>
      </c>
      <c r="C9" s="189" t="s">
        <v>732</v>
      </c>
      <c r="D9" s="9" t="s">
        <v>99</v>
      </c>
      <c r="E9" s="238" t="s">
        <v>499</v>
      </c>
      <c r="F9" s="164" t="s">
        <v>214</v>
      </c>
      <c r="G9" s="210" t="s">
        <v>779</v>
      </c>
      <c r="H9" s="9" t="str">
        <f t="shared" si="1"/>
        <v>MINISTRAR TREINAMENTO AGHUSE - MÓDULO AMBULATÓRIO E INTERNAÇÃO ASSISTENCIAL MÉDICO.</v>
      </c>
      <c r="I9" s="9" t="s">
        <v>103</v>
      </c>
      <c r="J9" s="198">
        <v>43709</v>
      </c>
      <c r="K9" s="199">
        <v>23</v>
      </c>
      <c r="L9" s="200">
        <v>26</v>
      </c>
      <c r="M9" s="57">
        <v>138.79</v>
      </c>
      <c r="N9" s="57">
        <v>34</v>
      </c>
      <c r="O9" s="57"/>
      <c r="P9" s="54"/>
      <c r="Q9" s="13">
        <v>1610.03</v>
      </c>
      <c r="R9" s="14">
        <f>587.52+103</f>
        <v>690.52</v>
      </c>
      <c r="S9" s="93">
        <f t="shared" si="0"/>
        <v>2473.34</v>
      </c>
      <c r="T9" s="15"/>
      <c r="U9" s="15"/>
      <c r="V9" s="15"/>
      <c r="W9" s="15"/>
    </row>
    <row r="10" spans="2:37" s="16" customFormat="1" ht="34.5" customHeight="1">
      <c r="B10" s="94">
        <v>6</v>
      </c>
      <c r="C10" s="189" t="s">
        <v>733</v>
      </c>
      <c r="D10" s="10" t="s">
        <v>112</v>
      </c>
      <c r="E10" s="238" t="s">
        <v>498</v>
      </c>
      <c r="F10" s="164" t="s">
        <v>133</v>
      </c>
      <c r="G10" s="210" t="s">
        <v>780</v>
      </c>
      <c r="H10" s="9" t="str">
        <f t="shared" si="1"/>
        <v>MINISTRAR TREINAMENTO AGHUSE -MÓDULO AMBULATÓRIO E INTERNAÇÃO ASSISTENCIAL ENFERMAGEM.</v>
      </c>
      <c r="I10" s="9" t="s">
        <v>103</v>
      </c>
      <c r="J10" s="198" t="s">
        <v>792</v>
      </c>
      <c r="K10" s="199">
        <v>30</v>
      </c>
      <c r="L10" s="200">
        <v>3</v>
      </c>
      <c r="M10" s="57">
        <v>118.28</v>
      </c>
      <c r="N10" s="57">
        <v>24.5</v>
      </c>
      <c r="O10" s="57"/>
      <c r="P10" s="54"/>
      <c r="Q10" s="13">
        <f>400.08+589.85</f>
        <v>989.93000000000006</v>
      </c>
      <c r="R10" s="313">
        <f>587.52+180.5</f>
        <v>768.02</v>
      </c>
      <c r="S10" s="93">
        <f t="shared" si="0"/>
        <v>1900.73</v>
      </c>
      <c r="T10" s="15"/>
      <c r="U10" s="15"/>
      <c r="V10" s="15"/>
      <c r="W10" s="15"/>
    </row>
    <row r="11" spans="2:37" s="16" customFormat="1" ht="23.25" customHeight="1">
      <c r="B11" s="92">
        <v>7</v>
      </c>
      <c r="C11" s="189" t="s">
        <v>734</v>
      </c>
      <c r="D11" s="10" t="s">
        <v>237</v>
      </c>
      <c r="E11" s="238" t="s">
        <v>525</v>
      </c>
      <c r="F11" s="164" t="s">
        <v>751</v>
      </c>
      <c r="G11" s="210" t="s">
        <v>781</v>
      </c>
      <c r="H11" s="9" t="str">
        <f t="shared" si="1"/>
        <v>MINISTRAR TREINAMENTO AGHUSE -MÓDULO ESTOQUE.</v>
      </c>
      <c r="I11" s="9" t="s">
        <v>103</v>
      </c>
      <c r="J11" s="198">
        <v>43739</v>
      </c>
      <c r="K11" s="199">
        <v>14</v>
      </c>
      <c r="L11" s="200">
        <v>17</v>
      </c>
      <c r="M11" s="57">
        <v>156.07</v>
      </c>
      <c r="N11" s="57">
        <v>143.09</v>
      </c>
      <c r="O11" s="57"/>
      <c r="P11" s="54"/>
      <c r="Q11" s="13">
        <f>512.08+589.85</f>
        <v>1101.93</v>
      </c>
      <c r="R11" s="313">
        <f>902.7+75.5</f>
        <v>978.2</v>
      </c>
      <c r="S11" s="93">
        <f t="shared" si="0"/>
        <v>2379.29</v>
      </c>
      <c r="T11" s="15"/>
      <c r="U11" s="15"/>
      <c r="V11" s="15"/>
      <c r="W11" s="15"/>
    </row>
    <row r="12" spans="2:37" s="16" customFormat="1" ht="22.5" customHeight="1">
      <c r="B12" s="92">
        <v>8</v>
      </c>
      <c r="C12" s="189" t="s">
        <v>735</v>
      </c>
      <c r="D12" s="10" t="s">
        <v>233</v>
      </c>
      <c r="E12" s="238" t="s">
        <v>523</v>
      </c>
      <c r="F12" s="164" t="s">
        <v>753</v>
      </c>
      <c r="G12" s="210" t="s">
        <v>782</v>
      </c>
      <c r="H12" s="9" t="str">
        <f t="shared" si="1"/>
        <v>MINISTRAR TREINAMENTO AGHUSE -MÓDULO FARMÁCIA.</v>
      </c>
      <c r="I12" s="9" t="s">
        <v>103</v>
      </c>
      <c r="J12" s="198">
        <v>43770</v>
      </c>
      <c r="K12" s="199">
        <v>5</v>
      </c>
      <c r="L12" s="200">
        <v>8</v>
      </c>
      <c r="M12" s="57">
        <v>109.37</v>
      </c>
      <c r="N12" s="57">
        <v>291</v>
      </c>
      <c r="O12" s="57"/>
      <c r="P12" s="54"/>
      <c r="Q12" s="13">
        <f>1386.83+1284.13</f>
        <v>2670.96</v>
      </c>
      <c r="R12" s="313">
        <f>587.52+88.5</f>
        <v>676.02</v>
      </c>
      <c r="S12" s="93">
        <f t="shared" si="0"/>
        <v>3747.35</v>
      </c>
      <c r="T12" s="15"/>
      <c r="U12" s="15"/>
      <c r="V12" s="15"/>
      <c r="W12" s="15"/>
    </row>
    <row r="13" spans="2:37" s="16" customFormat="1" ht="23.25" customHeight="1">
      <c r="B13" s="94">
        <v>9</v>
      </c>
      <c r="C13" s="189" t="s">
        <v>736</v>
      </c>
      <c r="D13" s="10" t="s">
        <v>754</v>
      </c>
      <c r="E13" s="238" t="s">
        <v>755</v>
      </c>
      <c r="F13" s="164" t="s">
        <v>756</v>
      </c>
      <c r="G13" s="210" t="s">
        <v>783</v>
      </c>
      <c r="H13" s="9" t="str">
        <f t="shared" si="1"/>
        <v>MINISTRAR TREINAMENTO AGHUSE -MÓDULO COMPRAS.</v>
      </c>
      <c r="I13" s="9" t="s">
        <v>103</v>
      </c>
      <c r="J13" s="198">
        <v>43739</v>
      </c>
      <c r="K13" s="199">
        <v>7</v>
      </c>
      <c r="L13" s="200">
        <v>10</v>
      </c>
      <c r="M13" s="57">
        <v>86.8</v>
      </c>
      <c r="N13" s="57">
        <v>52.8</v>
      </c>
      <c r="O13" s="57"/>
      <c r="P13" s="54"/>
      <c r="Q13" s="13">
        <v>1284.08</v>
      </c>
      <c r="R13" s="313">
        <f>139.5+587.52</f>
        <v>727.02</v>
      </c>
      <c r="S13" s="93">
        <f t="shared" si="0"/>
        <v>2150.6999999999998</v>
      </c>
      <c r="T13" s="15"/>
      <c r="U13" s="15"/>
      <c r="V13" s="15"/>
      <c r="W13" s="15"/>
    </row>
    <row r="14" spans="2:37" s="16" customFormat="1" ht="23.25" customHeight="1">
      <c r="B14" s="92">
        <v>10</v>
      </c>
      <c r="C14" s="189" t="s">
        <v>737</v>
      </c>
      <c r="D14" s="10" t="s">
        <v>317</v>
      </c>
      <c r="E14" s="230" t="s">
        <v>542</v>
      </c>
      <c r="F14" s="163" t="s">
        <v>757</v>
      </c>
      <c r="G14" s="164" t="s">
        <v>784</v>
      </c>
      <c r="H14" s="9" t="str">
        <f t="shared" si="1"/>
        <v>PARTICIPAÇÃO NO SEMINÁRIO DE AUDITORIA BASEADA EM RISCOS.</v>
      </c>
      <c r="I14" s="9" t="s">
        <v>65</v>
      </c>
      <c r="J14" s="17">
        <v>43709</v>
      </c>
      <c r="K14" s="10">
        <v>8</v>
      </c>
      <c r="L14" s="197">
        <v>10</v>
      </c>
      <c r="M14" s="57">
        <v>42.13</v>
      </c>
      <c r="N14" s="57">
        <v>208.98</v>
      </c>
      <c r="O14" s="57"/>
      <c r="P14" s="54"/>
      <c r="Q14" s="13">
        <v>2479.5500000000002</v>
      </c>
      <c r="R14" s="14">
        <f>657.8+90.2</f>
        <v>748</v>
      </c>
      <c r="S14" s="93">
        <f t="shared" si="0"/>
        <v>3478.6600000000003</v>
      </c>
      <c r="T14" s="15"/>
      <c r="U14" s="15"/>
      <c r="V14" s="15"/>
      <c r="W14" s="15"/>
    </row>
    <row r="15" spans="2:37" s="16" customFormat="1" ht="23.25" customHeight="1">
      <c r="B15" s="92">
        <v>11</v>
      </c>
      <c r="C15" s="190" t="s">
        <v>737</v>
      </c>
      <c r="D15" s="10" t="s">
        <v>758</v>
      </c>
      <c r="E15" s="230" t="s">
        <v>759</v>
      </c>
      <c r="F15" s="163" t="s">
        <v>307</v>
      </c>
      <c r="G15" s="164" t="s">
        <v>784</v>
      </c>
      <c r="H15" s="9" t="str">
        <f t="shared" si="1"/>
        <v>PARTICIPAÇÃO NO SEMINÁRIO DE AUDITORIA BASEADA EM RISCOS.</v>
      </c>
      <c r="I15" s="9" t="s">
        <v>65</v>
      </c>
      <c r="J15" s="17">
        <v>43709</v>
      </c>
      <c r="K15" s="10">
        <v>8</v>
      </c>
      <c r="L15" s="197">
        <v>10</v>
      </c>
      <c r="M15" s="57">
        <v>278.12</v>
      </c>
      <c r="N15" s="57">
        <v>182.33</v>
      </c>
      <c r="O15" s="57"/>
      <c r="P15" s="54"/>
      <c r="Q15" s="13">
        <v>2479.5500000000002</v>
      </c>
      <c r="R15" s="14">
        <f>657.8+101.2</f>
        <v>759</v>
      </c>
      <c r="S15" s="93">
        <f t="shared" si="0"/>
        <v>3699</v>
      </c>
      <c r="T15" s="15"/>
      <c r="U15" s="15"/>
      <c r="V15" s="15"/>
      <c r="W15" s="15"/>
    </row>
    <row r="16" spans="2:37" s="16" customFormat="1" ht="15.75" customHeight="1">
      <c r="B16" s="94">
        <v>12</v>
      </c>
      <c r="C16" s="190" t="s">
        <v>738</v>
      </c>
      <c r="D16" s="10" t="s">
        <v>107</v>
      </c>
      <c r="E16" s="230" t="s">
        <v>483</v>
      </c>
      <c r="F16" s="10" t="s">
        <v>693</v>
      </c>
      <c r="G16" s="9" t="s">
        <v>700</v>
      </c>
      <c r="H16" s="9" t="str">
        <f t="shared" si="1"/>
        <v>REUNIÃO DO CONSELHO DA ADMINISTRAÇÃO</v>
      </c>
      <c r="I16" s="9" t="s">
        <v>265</v>
      </c>
      <c r="J16" s="17">
        <v>43709</v>
      </c>
      <c r="K16" s="10">
        <v>23</v>
      </c>
      <c r="L16" s="11">
        <v>23</v>
      </c>
      <c r="M16" s="57"/>
      <c r="N16" s="57"/>
      <c r="O16" s="57"/>
      <c r="P16" s="54"/>
      <c r="Q16" s="13">
        <f>859.59+270</f>
        <v>1129.5900000000001</v>
      </c>
      <c r="R16" s="14">
        <v>0</v>
      </c>
      <c r="S16" s="93">
        <f t="shared" si="0"/>
        <v>1129.5900000000001</v>
      </c>
      <c r="T16" s="15"/>
      <c r="U16" s="15"/>
      <c r="V16" s="15"/>
      <c r="W16" s="15"/>
    </row>
    <row r="17" spans="2:23" s="16" customFormat="1" ht="35.25" customHeight="1">
      <c r="B17" s="92">
        <v>13</v>
      </c>
      <c r="C17" s="190" t="s">
        <v>739</v>
      </c>
      <c r="D17" s="10" t="s">
        <v>760</v>
      </c>
      <c r="E17" s="230" t="s">
        <v>761</v>
      </c>
      <c r="F17" s="10" t="s">
        <v>762</v>
      </c>
      <c r="G17" s="165" t="s">
        <v>785</v>
      </c>
      <c r="H17" s="9" t="str">
        <f t="shared" si="1"/>
        <v>PARTICIPAR EVENTO AACR - AMERICAN ASSOCIATION FOR CANCER RESEARCH, COMO PALESTRANTE.</v>
      </c>
      <c r="I17" s="9" t="s">
        <v>790</v>
      </c>
      <c r="J17" s="198" t="s">
        <v>793</v>
      </c>
      <c r="K17" s="199">
        <v>25</v>
      </c>
      <c r="L17" s="200">
        <v>4</v>
      </c>
      <c r="M17" s="57"/>
      <c r="N17" s="57"/>
      <c r="O17" s="57"/>
      <c r="P17" s="54"/>
      <c r="Q17" s="13">
        <f>5311.8+568.4</f>
        <v>5880.2</v>
      </c>
      <c r="R17" s="14">
        <v>0</v>
      </c>
      <c r="S17" s="93">
        <f t="shared" si="0"/>
        <v>5880.2</v>
      </c>
      <c r="T17" s="15"/>
      <c r="U17" s="15"/>
      <c r="V17" s="15"/>
      <c r="W17" s="15"/>
    </row>
    <row r="18" spans="2:23" s="16" customFormat="1" ht="13.5" customHeight="1">
      <c r="B18" s="92">
        <v>14</v>
      </c>
      <c r="C18" s="190" t="s">
        <v>740</v>
      </c>
      <c r="D18" s="10" t="s">
        <v>451</v>
      </c>
      <c r="E18" s="230" t="s">
        <v>567</v>
      </c>
      <c r="F18" s="10" t="s">
        <v>693</v>
      </c>
      <c r="G18" s="9" t="s">
        <v>700</v>
      </c>
      <c r="H18" s="9" t="str">
        <f t="shared" si="1"/>
        <v>REUNIÃO DO CONSELHO DA ADMINISTRAÇÃO</v>
      </c>
      <c r="I18" s="9" t="s">
        <v>56</v>
      </c>
      <c r="J18" s="17">
        <v>43709</v>
      </c>
      <c r="K18" s="10">
        <v>23</v>
      </c>
      <c r="L18" s="11">
        <v>23</v>
      </c>
      <c r="M18" s="57"/>
      <c r="N18" s="57"/>
      <c r="O18" s="57"/>
      <c r="P18" s="12"/>
      <c r="Q18" s="13">
        <f>1062.57+1412.98</f>
        <v>2475.5500000000002</v>
      </c>
      <c r="R18" s="14">
        <v>0</v>
      </c>
      <c r="S18" s="93">
        <f t="shared" si="0"/>
        <v>2475.5500000000002</v>
      </c>
      <c r="T18" s="15"/>
      <c r="U18" s="15"/>
      <c r="V18" s="15"/>
      <c r="W18" s="15"/>
    </row>
    <row r="19" spans="2:23" s="16" customFormat="1" ht="12.75" customHeight="1">
      <c r="B19" s="94">
        <v>15</v>
      </c>
      <c r="C19" s="190" t="s">
        <v>741</v>
      </c>
      <c r="D19" s="10" t="s">
        <v>57</v>
      </c>
      <c r="E19" s="230" t="s">
        <v>482</v>
      </c>
      <c r="F19" s="10" t="s">
        <v>693</v>
      </c>
      <c r="G19" s="9" t="s">
        <v>700</v>
      </c>
      <c r="H19" s="9" t="str">
        <f t="shared" si="1"/>
        <v>REUNIÃO DO CONSELHO DA ADMINISTRAÇÃO</v>
      </c>
      <c r="I19" s="9" t="s">
        <v>56</v>
      </c>
      <c r="J19" s="17">
        <v>43709</v>
      </c>
      <c r="K19" s="10">
        <v>23</v>
      </c>
      <c r="L19" s="11">
        <v>23</v>
      </c>
      <c r="M19" s="57"/>
      <c r="N19" s="57"/>
      <c r="O19" s="57"/>
      <c r="P19" s="12"/>
      <c r="Q19" s="13">
        <v>1833.75</v>
      </c>
      <c r="R19" s="14">
        <v>0</v>
      </c>
      <c r="S19" s="93">
        <f t="shared" si="0"/>
        <v>1833.75</v>
      </c>
      <c r="T19" s="15"/>
      <c r="U19" s="15"/>
      <c r="V19" s="15"/>
      <c r="W19" s="15"/>
    </row>
    <row r="20" spans="2:23" s="16" customFormat="1" ht="80.25" customHeight="1">
      <c r="B20" s="92">
        <v>16</v>
      </c>
      <c r="C20" s="189" t="s">
        <v>742</v>
      </c>
      <c r="D20" s="10" t="s">
        <v>763</v>
      </c>
      <c r="E20" s="230" t="s">
        <v>764</v>
      </c>
      <c r="F20" s="10" t="s">
        <v>765</v>
      </c>
      <c r="G20" s="164" t="s">
        <v>786</v>
      </c>
      <c r="H20" s="9" t="str">
        <f t="shared" si="1"/>
        <v>PARTICIPAR DA CAPACITAÇÃO PARA PRESCRIÇÃO E CUIDADOS ESPECIAIS DE CRIANÇAS EM NUTRIÇÃO PARENTERAL PARA CONTINUIDADE DO TRATAMENTO EM DOMICÍLIO DA PACIENTE GEOVANA CHIQUETTI HRESCAK - PRONTUÁRIO 15758766, INTEGRANTE DO PROGRAMA DE REABILITAÇÃO INTESTINAL DE CRIANÇAS E ADOLESCENTES - PRICA,</v>
      </c>
      <c r="I20" s="9" t="s">
        <v>791</v>
      </c>
      <c r="J20" s="17">
        <v>43709</v>
      </c>
      <c r="K20" s="10">
        <v>24</v>
      </c>
      <c r="L20" s="11">
        <v>24</v>
      </c>
      <c r="M20" s="57"/>
      <c r="N20" s="57"/>
      <c r="O20" s="57"/>
      <c r="P20" s="12"/>
      <c r="Q20" s="13">
        <v>1864.09</v>
      </c>
      <c r="R20" s="14">
        <v>0</v>
      </c>
      <c r="S20" s="93">
        <f t="shared" si="0"/>
        <v>1864.09</v>
      </c>
      <c r="T20" s="15"/>
      <c r="U20" s="15"/>
      <c r="V20" s="15"/>
      <c r="W20" s="15"/>
    </row>
    <row r="21" spans="2:23" s="16" customFormat="1" ht="79.5" customHeight="1">
      <c r="B21" s="92">
        <v>17</v>
      </c>
      <c r="C21" s="189" t="s">
        <v>743</v>
      </c>
      <c r="D21" s="10" t="s">
        <v>766</v>
      </c>
      <c r="E21" s="230" t="s">
        <v>767</v>
      </c>
      <c r="F21" s="10" t="s">
        <v>768</v>
      </c>
      <c r="G21" s="164" t="s">
        <v>786</v>
      </c>
      <c r="H21" s="9" t="str">
        <f t="shared" si="1"/>
        <v>PARTICIPAR DA CAPACITAÇÃO PARA PRESCRIÇÃO E CUIDADOS ESPECIAIS DE CRIANÇAS EM NUTRIÇÃO PARENTERAL PARA CONTINUIDADE DO TRATAMENTO EM DOMICÍLIO DA PACIENTE GEOVANA CHIQUETTI HRESCAK - PRONTUÁRIO 15758766, INTEGRANTE DO PROGRAMA DE REABILITAÇÃO INTESTINAL DE CRIANÇAS E ADOLESCENTES - PRICA,</v>
      </c>
      <c r="I21" s="9" t="s">
        <v>791</v>
      </c>
      <c r="J21" s="17">
        <v>43709</v>
      </c>
      <c r="K21" s="10">
        <v>24</v>
      </c>
      <c r="L21" s="11">
        <v>24</v>
      </c>
      <c r="M21" s="57"/>
      <c r="N21" s="57"/>
      <c r="O21" s="57"/>
      <c r="P21" s="12"/>
      <c r="Q21" s="13">
        <v>1419.77</v>
      </c>
      <c r="R21" s="14">
        <v>0</v>
      </c>
      <c r="S21" s="93">
        <f t="shared" si="0"/>
        <v>1419.77</v>
      </c>
      <c r="T21" s="15"/>
      <c r="U21" s="15"/>
      <c r="V21" s="15"/>
      <c r="W21" s="15"/>
    </row>
    <row r="22" spans="2:23" s="16" customFormat="1" ht="79.5" customHeight="1">
      <c r="B22" s="94">
        <v>18</v>
      </c>
      <c r="C22" s="189" t="s">
        <v>744</v>
      </c>
      <c r="D22" s="10" t="s">
        <v>769</v>
      </c>
      <c r="E22" s="230" t="s">
        <v>770</v>
      </c>
      <c r="F22" s="10" t="s">
        <v>768</v>
      </c>
      <c r="G22" s="164" t="s">
        <v>786</v>
      </c>
      <c r="H22" s="9" t="str">
        <f t="shared" si="1"/>
        <v>PARTICIPAR DA CAPACITAÇÃO PARA PRESCRIÇÃO E CUIDADOS ESPECIAIS DE CRIANÇAS EM NUTRIÇÃO PARENTERAL PARA CONTINUIDADE DO TRATAMENTO EM DOMICÍLIO DA PACIENTE GEOVANA CHIQUETTI HRESCAK - PRONTUÁRIO 15758766, INTEGRANTE DO PROGRAMA DE REABILITAÇÃO INTESTINAL DE CRIANÇAS E ADOLESCENTES - PRICA,</v>
      </c>
      <c r="I22" s="9" t="s">
        <v>791</v>
      </c>
      <c r="J22" s="17">
        <v>43709</v>
      </c>
      <c r="K22" s="10">
        <v>24</v>
      </c>
      <c r="L22" s="11">
        <v>24</v>
      </c>
      <c r="M22" s="57"/>
      <c r="N22" s="57"/>
      <c r="O22" s="57"/>
      <c r="P22" s="12"/>
      <c r="Q22" s="13">
        <v>1864.09</v>
      </c>
      <c r="R22" s="14">
        <v>0</v>
      </c>
      <c r="S22" s="93">
        <f t="shared" si="0"/>
        <v>1864.09</v>
      </c>
      <c r="T22" s="15"/>
      <c r="U22" s="15"/>
      <c r="V22" s="15"/>
      <c r="W22" s="15"/>
    </row>
    <row r="23" spans="2:23" s="16" customFormat="1" ht="81" customHeight="1">
      <c r="B23" s="92">
        <v>19</v>
      </c>
      <c r="C23" s="189" t="s">
        <v>745</v>
      </c>
      <c r="D23" s="10" t="s">
        <v>771</v>
      </c>
      <c r="E23" s="230" t="s">
        <v>772</v>
      </c>
      <c r="F23" s="10" t="s">
        <v>768</v>
      </c>
      <c r="G23" s="164" t="s">
        <v>786</v>
      </c>
      <c r="H23" s="9" t="str">
        <f t="shared" si="1"/>
        <v>PARTICIPAR DA CAPACITAÇÃO PARA PRESCRIÇÃO E CUIDADOS ESPECIAIS DE CRIANÇAS EM NUTRIÇÃO PARENTERAL PARA CONTINUIDADE DO TRATAMENTO EM DOMICÍLIO DA PACIENTE GEOVANA CHIQUETTI HRESCAK - PRONTUÁRIO 15758766, INTEGRANTE DO PROGRAMA DE REABILITAÇÃO INTESTINAL DE CRIANÇAS E ADOLESCENTES - PRICA,</v>
      </c>
      <c r="I23" s="9" t="s">
        <v>791</v>
      </c>
      <c r="J23" s="17">
        <v>43709</v>
      </c>
      <c r="K23" s="10">
        <v>24</v>
      </c>
      <c r="L23" s="11">
        <v>24</v>
      </c>
      <c r="M23" s="57"/>
      <c r="N23" s="57"/>
      <c r="O23" s="57"/>
      <c r="P23" s="12"/>
      <c r="Q23" s="13">
        <v>1864.09</v>
      </c>
      <c r="R23" s="14">
        <v>0</v>
      </c>
      <c r="S23" s="93">
        <f t="shared" si="0"/>
        <v>1864.09</v>
      </c>
      <c r="T23" s="15"/>
      <c r="U23" s="15"/>
      <c r="V23" s="15"/>
      <c r="W23" s="15"/>
    </row>
    <row r="24" spans="2:23" s="16" customFormat="1" ht="78.75" customHeight="1">
      <c r="B24" s="92">
        <v>20</v>
      </c>
      <c r="C24" s="189" t="s">
        <v>746</v>
      </c>
      <c r="D24" s="10" t="s">
        <v>773</v>
      </c>
      <c r="E24" s="230" t="s">
        <v>774</v>
      </c>
      <c r="F24" s="10" t="s">
        <v>765</v>
      </c>
      <c r="G24" s="164" t="s">
        <v>786</v>
      </c>
      <c r="H24" s="9" t="str">
        <f t="shared" si="1"/>
        <v>PARTICIPAR DA CAPACITAÇÃO PARA PRESCRIÇÃO E CUIDADOS ESPECIAIS DE CRIANÇAS EM NUTRIÇÃO PARENTERAL PARA CONTINUIDADE DO TRATAMENTO EM DOMICÍLIO DA PACIENTE GEOVANA CHIQUETTI HRESCAK - PRONTUÁRIO 15758766, INTEGRANTE DO PROGRAMA DE REABILITAÇÃO INTESTINAL DE CRIANÇAS E ADOLESCENTES - PRICA,</v>
      </c>
      <c r="I24" s="9" t="s">
        <v>791</v>
      </c>
      <c r="J24" s="17">
        <v>43709</v>
      </c>
      <c r="K24" s="10">
        <v>24</v>
      </c>
      <c r="L24" s="11">
        <v>24</v>
      </c>
      <c r="M24" s="57"/>
      <c r="N24" s="57"/>
      <c r="O24" s="57"/>
      <c r="P24" s="12"/>
      <c r="Q24" s="13">
        <v>1864.09</v>
      </c>
      <c r="R24" s="14">
        <v>0</v>
      </c>
      <c r="S24" s="93">
        <f t="shared" si="0"/>
        <v>1864.09</v>
      </c>
      <c r="T24" s="15"/>
      <c r="U24" s="15"/>
      <c r="V24" s="15"/>
      <c r="W24" s="15"/>
    </row>
    <row r="25" spans="2:23" s="16" customFormat="1" ht="33.75" customHeight="1">
      <c r="B25" s="94">
        <v>21</v>
      </c>
      <c r="C25" s="189" t="s">
        <v>747</v>
      </c>
      <c r="D25" s="10" t="s">
        <v>563</v>
      </c>
      <c r="E25" s="230" t="s">
        <v>574</v>
      </c>
      <c r="F25" s="10" t="s">
        <v>137</v>
      </c>
      <c r="G25" s="164" t="s">
        <v>787</v>
      </c>
      <c r="H25" s="9" t="str">
        <f t="shared" si="1"/>
        <v>PARTICIPAR DO ENCONTRO ONDE SERÁ DISCUTIDA A NOVA PROPOSTA DE AVALIAÇÃO DOS MESTRADOS PROFISSIONAIS, PELA CAPES.</v>
      </c>
      <c r="I25" s="10" t="s">
        <v>72</v>
      </c>
      <c r="J25" s="17">
        <v>43709</v>
      </c>
      <c r="K25" s="10">
        <v>18</v>
      </c>
      <c r="L25" s="11">
        <v>20</v>
      </c>
      <c r="M25" s="57">
        <v>118.11</v>
      </c>
      <c r="N25" s="57">
        <v>0</v>
      </c>
      <c r="O25" s="57"/>
      <c r="P25" s="12"/>
      <c r="Q25" s="13">
        <v>1978.16</v>
      </c>
      <c r="R25" s="14">
        <f>483+59</f>
        <v>542</v>
      </c>
      <c r="S25" s="93">
        <f t="shared" si="0"/>
        <v>2638.27</v>
      </c>
      <c r="T25" s="15"/>
      <c r="U25" s="15"/>
      <c r="V25" s="15"/>
      <c r="W25" s="15"/>
    </row>
    <row r="26" spans="2:23" s="16" customFormat="1" ht="34.5" customHeight="1">
      <c r="B26" s="92">
        <v>22</v>
      </c>
      <c r="C26" s="189" t="s">
        <v>748</v>
      </c>
      <c r="D26" s="10" t="s">
        <v>102</v>
      </c>
      <c r="E26" s="238" t="s">
        <v>496</v>
      </c>
      <c r="F26" s="164" t="s">
        <v>698</v>
      </c>
      <c r="G26" s="164" t="s">
        <v>788</v>
      </c>
      <c r="H26" s="9" t="str">
        <f t="shared" si="1"/>
        <v>REUNIÃO NO TCU, JUNTAMENTE COM OS ADVOGADOS DO HCPA, PARA DEFESA DO EDITAL N.º 0395/2019.</v>
      </c>
      <c r="I26" s="10" t="s">
        <v>65</v>
      </c>
      <c r="J26" s="17">
        <v>43709</v>
      </c>
      <c r="K26" s="10">
        <v>18</v>
      </c>
      <c r="L26" s="11">
        <v>19</v>
      </c>
      <c r="M26" s="57">
        <v>133.81</v>
      </c>
      <c r="N26" s="57">
        <v>120.65</v>
      </c>
      <c r="O26" s="57"/>
      <c r="P26" s="12"/>
      <c r="Q26" s="13">
        <v>2163.5500000000002</v>
      </c>
      <c r="R26" s="14">
        <f>209+5.5</f>
        <v>214.5</v>
      </c>
      <c r="S26" s="93">
        <f t="shared" si="0"/>
        <v>2632.51</v>
      </c>
      <c r="T26" s="15"/>
      <c r="U26" s="15"/>
      <c r="V26" s="15"/>
      <c r="W26" s="15"/>
    </row>
    <row r="27" spans="2:23" s="16" customFormat="1" ht="23.25" customHeight="1">
      <c r="B27" s="92">
        <v>23</v>
      </c>
      <c r="C27" s="317" t="s">
        <v>749</v>
      </c>
      <c r="D27" s="10" t="s">
        <v>204</v>
      </c>
      <c r="E27" s="230" t="s">
        <v>494</v>
      </c>
      <c r="F27" s="194" t="s">
        <v>452</v>
      </c>
      <c r="G27" s="164" t="s">
        <v>789</v>
      </c>
      <c r="H27" s="9" t="str">
        <f t="shared" si="1"/>
        <v>REUNIÃO AGENDADA NO TRIBUNAL DE CONTAS DA UNIÃO (TCU) E NO MINISTÉRIO DA SAÚDE.</v>
      </c>
      <c r="I27" s="10" t="s">
        <v>65</v>
      </c>
      <c r="J27" s="17">
        <v>43709</v>
      </c>
      <c r="K27" s="10">
        <v>18</v>
      </c>
      <c r="L27" s="11">
        <v>19</v>
      </c>
      <c r="M27" s="57">
        <v>0</v>
      </c>
      <c r="N27" s="57">
        <v>0</v>
      </c>
      <c r="O27" s="57"/>
      <c r="P27" s="12"/>
      <c r="Q27" s="13">
        <v>2912.55</v>
      </c>
      <c r="R27" s="14">
        <f>209+5.5</f>
        <v>214.5</v>
      </c>
      <c r="S27" s="93">
        <f t="shared" si="0"/>
        <v>3127.05</v>
      </c>
      <c r="T27" s="15"/>
      <c r="U27" s="15"/>
      <c r="V27" s="15"/>
      <c r="W27" s="15"/>
    </row>
    <row r="28" spans="2:23" s="16" customFormat="1" ht="24.75" customHeight="1">
      <c r="B28" s="94">
        <v>24</v>
      </c>
      <c r="C28" s="189" t="s">
        <v>750</v>
      </c>
      <c r="D28" s="10" t="s">
        <v>206</v>
      </c>
      <c r="E28" s="316" t="s">
        <v>510</v>
      </c>
      <c r="F28" s="193" t="s">
        <v>719</v>
      </c>
      <c r="G28" s="164" t="s">
        <v>789</v>
      </c>
      <c r="H28" s="9" t="str">
        <f t="shared" si="1"/>
        <v>REUNIÃO AGENDADA NO TRIBUNAL DE CONTAS DA UNIÃO (TCU) E NO MINISTÉRIO DA SAÚDE.</v>
      </c>
      <c r="I28" s="10" t="s">
        <v>65</v>
      </c>
      <c r="J28" s="17">
        <v>43709</v>
      </c>
      <c r="K28" s="10">
        <v>18</v>
      </c>
      <c r="L28" s="11">
        <v>19</v>
      </c>
      <c r="M28" s="57">
        <v>38.46</v>
      </c>
      <c r="N28" s="57">
        <v>93.65</v>
      </c>
      <c r="O28" s="57"/>
      <c r="P28" s="12">
        <v>31.18</v>
      </c>
      <c r="Q28" s="13">
        <v>3202.55</v>
      </c>
      <c r="R28" s="14">
        <f>209+3.3</f>
        <v>212.3</v>
      </c>
      <c r="S28" s="93">
        <f t="shared" si="0"/>
        <v>3578.1400000000003</v>
      </c>
      <c r="T28" s="15"/>
      <c r="U28" s="15"/>
      <c r="V28" s="15"/>
      <c r="W28" s="15"/>
    </row>
    <row r="29" spans="2:23" s="16" customFormat="1" ht="12.75" customHeight="1" thickBot="1">
      <c r="B29" s="95"/>
      <c r="C29" s="96"/>
      <c r="D29" s="97"/>
      <c r="E29" s="97"/>
      <c r="F29" s="97"/>
      <c r="G29" s="97"/>
      <c r="H29" s="97" t="str">
        <f t="shared" si="1"/>
        <v/>
      </c>
      <c r="I29" s="98"/>
      <c r="J29" s="99"/>
      <c r="K29" s="121"/>
      <c r="L29" s="127"/>
      <c r="M29" s="125"/>
      <c r="N29" s="125"/>
      <c r="O29" s="125"/>
      <c r="P29" s="116"/>
      <c r="Q29" s="103"/>
      <c r="R29" s="104"/>
      <c r="S29" s="105">
        <f t="shared" si="0"/>
        <v>0</v>
      </c>
      <c r="T29" s="15"/>
      <c r="U29" s="15"/>
      <c r="V29" s="15"/>
      <c r="W29" s="15"/>
    </row>
    <row r="30" spans="2:23" s="30" customFormat="1" ht="24.75" customHeight="1">
      <c r="C30" s="31"/>
      <c r="D30" s="31"/>
      <c r="E30" s="31"/>
      <c r="F30" s="31"/>
      <c r="G30" s="31"/>
      <c r="H30" s="31"/>
      <c r="I30" s="33"/>
      <c r="J30" s="31"/>
      <c r="K30" s="19"/>
      <c r="L30" s="32"/>
      <c r="M30" s="35">
        <f t="shared" ref="M30:R30" si="2">SUM(M5:M29)</f>
        <v>1998.7700000000002</v>
      </c>
      <c r="N30" s="35">
        <f t="shared" si="2"/>
        <v>1911.95</v>
      </c>
      <c r="O30" s="35">
        <f t="shared" si="2"/>
        <v>0</v>
      </c>
      <c r="P30" s="120">
        <f t="shared" si="2"/>
        <v>31.18</v>
      </c>
      <c r="Q30" s="59">
        <f t="shared" si="2"/>
        <v>51055.07</v>
      </c>
      <c r="R30" s="60">
        <f t="shared" si="2"/>
        <v>9703.1999999999989</v>
      </c>
      <c r="S30" s="58">
        <f>SUM(S5:S29)+P31</f>
        <v>64700.481799999987</v>
      </c>
    </row>
    <row r="31" spans="2:23" s="39" customFormat="1" ht="24.75" customHeight="1" thickBot="1">
      <c r="C31" s="40"/>
      <c r="D31" s="358"/>
      <c r="E31" s="358"/>
      <c r="F31" s="358"/>
      <c r="G31" s="358"/>
      <c r="H31" s="358"/>
      <c r="I31" s="358"/>
      <c r="J31" s="358"/>
      <c r="K31" s="358"/>
      <c r="L31" s="41"/>
      <c r="M31" s="42"/>
      <c r="N31" s="42"/>
      <c r="O31" s="87" t="s">
        <v>31</v>
      </c>
      <c r="P31" s="26">
        <f>P30*1%</f>
        <v>0.31180000000000002</v>
      </c>
      <c r="S31" s="43"/>
    </row>
    <row r="32" spans="2:23" s="39" customFormat="1" ht="24.75" customHeight="1" thickBot="1">
      <c r="C32" s="40"/>
      <c r="D32" s="140" t="s">
        <v>41</v>
      </c>
      <c r="E32" s="182"/>
      <c r="F32" s="182"/>
      <c r="G32" s="182"/>
      <c r="H32" s="182"/>
      <c r="I32" s="44"/>
      <c r="J32" s="40"/>
      <c r="K32" s="40"/>
      <c r="L32" s="139"/>
      <c r="M32" s="42"/>
      <c r="N32" s="42"/>
      <c r="O32" s="42"/>
      <c r="P32" s="89">
        <f>P30+P31</f>
        <v>31.491800000000001</v>
      </c>
      <c r="Q32" s="45"/>
      <c r="R32" s="43"/>
      <c r="S32" s="46" t="s">
        <v>8</v>
      </c>
    </row>
    <row r="33" spans="3:19" s="39" customFormat="1" ht="24.75" customHeight="1">
      <c r="C33" s="40"/>
      <c r="D33" s="359"/>
      <c r="E33" s="359"/>
      <c r="F33" s="359"/>
      <c r="G33" s="359"/>
      <c r="H33" s="359"/>
      <c r="I33" s="359"/>
      <c r="J33" s="359"/>
      <c r="K33" s="359"/>
      <c r="L33" s="41"/>
      <c r="M33" s="42"/>
      <c r="N33" s="42"/>
      <c r="O33" s="42"/>
      <c r="P33" s="26"/>
      <c r="Q33" s="5" t="s">
        <v>7</v>
      </c>
      <c r="R33" s="138">
        <f>M30+N30+O30+P32+Q30+R30</f>
        <v>64700.481799999994</v>
      </c>
      <c r="S33" s="47">
        <f>S30-R33</f>
        <v>0</v>
      </c>
    </row>
    <row r="34" spans="3:19" ht="24.75" customHeight="1">
      <c r="C34" s="48"/>
      <c r="D34" s="49"/>
      <c r="E34" s="49"/>
      <c r="F34" s="49"/>
      <c r="G34" s="49"/>
      <c r="H34" s="49"/>
      <c r="I34" s="50"/>
      <c r="J34" s="51"/>
      <c r="K34" s="51"/>
      <c r="L34" s="51"/>
      <c r="O34" s="87" t="s">
        <v>31</v>
      </c>
      <c r="P34" s="26" t="s">
        <v>32</v>
      </c>
    </row>
    <row r="35" spans="3:19" ht="24.75" customHeight="1">
      <c r="C35" s="48"/>
      <c r="D35" s="49"/>
      <c r="E35" s="49"/>
      <c r="F35" s="49"/>
      <c r="G35" s="49"/>
      <c r="H35" s="49"/>
      <c r="I35" s="50"/>
      <c r="J35" s="51"/>
      <c r="K35" s="51"/>
      <c r="L35" s="51"/>
      <c r="P35" s="26"/>
    </row>
    <row r="36" spans="3:19" ht="24.75" customHeight="1">
      <c r="C36" s="48"/>
      <c r="D36" s="49"/>
      <c r="E36" s="49"/>
      <c r="F36" s="49"/>
      <c r="G36" s="49"/>
      <c r="H36" s="49"/>
      <c r="I36" s="50"/>
      <c r="J36" s="51"/>
      <c r="K36" s="51"/>
      <c r="L36" s="51"/>
      <c r="P36" s="26"/>
    </row>
    <row r="37" spans="3:19" ht="24.75" customHeight="1">
      <c r="C37" s="48"/>
      <c r="D37" s="49"/>
      <c r="E37" s="49"/>
      <c r="F37" s="49"/>
      <c r="G37" s="49"/>
      <c r="H37" s="49"/>
      <c r="I37" s="50"/>
      <c r="J37" s="51"/>
      <c r="K37" s="51"/>
      <c r="L37" s="51"/>
      <c r="P37" s="26"/>
    </row>
    <row r="38" spans="3:19" ht="24.75" customHeight="1">
      <c r="C38" s="48"/>
      <c r="D38" s="49"/>
      <c r="E38" s="49"/>
      <c r="F38" s="49"/>
      <c r="G38" s="49"/>
      <c r="H38" s="49"/>
      <c r="I38" s="50"/>
      <c r="J38" s="51"/>
      <c r="K38" s="51"/>
      <c r="L38" s="51"/>
      <c r="P38" s="26"/>
    </row>
    <row r="39" spans="3:19" ht="24.75" customHeight="1">
      <c r="C39" s="48"/>
      <c r="D39" s="49"/>
      <c r="E39" s="49"/>
      <c r="F39" s="49"/>
      <c r="G39" s="49"/>
      <c r="H39" s="49"/>
      <c r="I39" s="50"/>
      <c r="J39" s="51"/>
      <c r="K39" s="51"/>
      <c r="L39" s="51"/>
      <c r="P39" s="26"/>
    </row>
    <row r="40" spans="3:19" ht="24.75" customHeight="1">
      <c r="C40" s="48"/>
      <c r="D40" s="49"/>
      <c r="E40" s="49"/>
      <c r="F40" s="49"/>
      <c r="G40" s="49"/>
      <c r="H40" s="49"/>
      <c r="I40" s="50"/>
      <c r="J40" s="51"/>
      <c r="K40" s="51"/>
      <c r="L40" s="51"/>
      <c r="P40" s="26"/>
    </row>
    <row r="41" spans="3:19" ht="24.75" customHeight="1">
      <c r="C41" s="48"/>
      <c r="D41" s="49"/>
      <c r="E41" s="49"/>
      <c r="F41" s="49"/>
      <c r="G41" s="49"/>
      <c r="H41" s="49"/>
      <c r="I41" s="50"/>
      <c r="J41" s="51"/>
      <c r="K41" s="51"/>
      <c r="L41" s="51"/>
      <c r="P41" s="26"/>
    </row>
    <row r="42" spans="3:19" ht="24.75" customHeight="1">
      <c r="C42" s="48"/>
      <c r="I42" s="50"/>
      <c r="J42" s="51"/>
      <c r="K42" s="51"/>
      <c r="L42" s="51"/>
      <c r="P42" s="26"/>
    </row>
    <row r="43" spans="3:19" ht="24.75" customHeight="1">
      <c r="C43" s="48"/>
      <c r="D43" s="49"/>
      <c r="E43" s="49"/>
      <c r="F43" s="49"/>
      <c r="G43" s="49"/>
      <c r="H43" s="49"/>
      <c r="I43" s="50"/>
      <c r="J43" s="51"/>
      <c r="K43" s="51"/>
      <c r="L43" s="51"/>
      <c r="P43" s="26"/>
    </row>
    <row r="44" spans="3:19" ht="24.75" customHeight="1">
      <c r="C44" s="48"/>
      <c r="D44" s="49"/>
      <c r="E44" s="49"/>
      <c r="F44" s="49"/>
      <c r="G44" s="49"/>
      <c r="H44" s="49"/>
      <c r="I44" s="50"/>
      <c r="J44" s="51"/>
      <c r="K44" s="51"/>
      <c r="L44" s="51"/>
      <c r="P44" s="52"/>
    </row>
    <row r="45" spans="3:19" ht="24.75" customHeight="1">
      <c r="C45" s="48"/>
      <c r="D45" s="49"/>
      <c r="E45" s="49"/>
      <c r="F45" s="49"/>
      <c r="G45" s="49"/>
      <c r="H45" s="49"/>
      <c r="I45" s="50"/>
      <c r="J45" s="51"/>
      <c r="K45" s="51"/>
      <c r="L45" s="51"/>
      <c r="P45" s="39"/>
      <c r="Q45"/>
      <c r="R45"/>
      <c r="S45"/>
    </row>
    <row r="46" spans="3:19" ht="24.75" customHeight="1">
      <c r="C46" s="48"/>
      <c r="D46" s="49"/>
      <c r="E46" s="49"/>
      <c r="F46" s="49"/>
      <c r="G46" s="49"/>
      <c r="H46" s="49"/>
      <c r="I46" s="50"/>
      <c r="J46" s="51"/>
      <c r="K46" s="51"/>
      <c r="L46" s="51"/>
      <c r="P46" s="39"/>
      <c r="Q46"/>
      <c r="R46"/>
      <c r="S46"/>
    </row>
    <row r="47" spans="3:19" ht="24.75" customHeight="1">
      <c r="C47" s="48"/>
      <c r="D47" s="49"/>
      <c r="E47" s="49"/>
      <c r="F47" s="49"/>
      <c r="G47" s="49"/>
      <c r="H47" s="49"/>
      <c r="I47" s="50"/>
      <c r="J47" s="51"/>
      <c r="K47" s="51"/>
      <c r="L47" s="51"/>
      <c r="P47" s="39"/>
      <c r="Q47"/>
      <c r="R47"/>
      <c r="S47"/>
    </row>
    <row r="48" spans="3:19" ht="24.75" customHeight="1">
      <c r="C48" s="48"/>
      <c r="D48" s="49"/>
      <c r="E48" s="49"/>
      <c r="F48" s="49"/>
      <c r="G48" s="49"/>
      <c r="H48" s="49"/>
      <c r="I48" s="50"/>
      <c r="J48" s="51"/>
      <c r="K48" s="51"/>
      <c r="L48" s="51"/>
      <c r="Q48"/>
      <c r="R48"/>
      <c r="S48"/>
    </row>
    <row r="49" spans="3:19" ht="24.75" customHeight="1">
      <c r="C49" s="48"/>
      <c r="D49" s="49"/>
      <c r="E49" s="49"/>
      <c r="F49" s="49"/>
      <c r="G49" s="49"/>
      <c r="H49" s="49"/>
      <c r="I49" s="50"/>
      <c r="J49" s="51"/>
      <c r="K49" s="51"/>
      <c r="L49" s="51"/>
      <c r="Q49"/>
      <c r="R49"/>
      <c r="S49"/>
    </row>
    <row r="50" spans="3:19" ht="24.75" customHeight="1">
      <c r="C50" s="48"/>
      <c r="D50" s="49"/>
      <c r="E50" s="49"/>
      <c r="F50" s="49"/>
      <c r="G50" s="49"/>
      <c r="H50" s="49"/>
      <c r="I50" s="50"/>
      <c r="J50" s="51"/>
      <c r="K50" s="51"/>
      <c r="L50" s="51"/>
      <c r="Q50"/>
      <c r="R50"/>
      <c r="S50"/>
    </row>
    <row r="51" spans="3:19" ht="24.75" customHeight="1">
      <c r="C51" s="48"/>
      <c r="D51" s="49"/>
      <c r="E51" s="49"/>
      <c r="F51" s="49"/>
      <c r="G51" s="49"/>
      <c r="H51" s="49"/>
      <c r="I51" s="50"/>
      <c r="J51" s="51"/>
      <c r="K51" s="51"/>
      <c r="L51" s="51"/>
      <c r="Q51"/>
      <c r="R51"/>
      <c r="S51"/>
    </row>
    <row r="52" spans="3:19" ht="24.75" customHeight="1">
      <c r="C52" s="48"/>
      <c r="D52" s="49"/>
      <c r="E52" s="49"/>
      <c r="F52" s="49"/>
      <c r="G52" s="49"/>
      <c r="H52" s="49"/>
      <c r="I52" s="50"/>
      <c r="J52" s="51"/>
      <c r="K52" s="51"/>
      <c r="L52" s="51"/>
      <c r="Q52"/>
      <c r="R52"/>
      <c r="S52"/>
    </row>
    <row r="53" spans="3:19" ht="24.75" customHeight="1">
      <c r="C53" s="48"/>
      <c r="D53" s="49"/>
      <c r="E53" s="49"/>
      <c r="F53" s="49"/>
      <c r="G53" s="49"/>
      <c r="H53" s="49"/>
      <c r="I53" s="50"/>
      <c r="J53" s="51"/>
      <c r="K53" s="51"/>
      <c r="L53" s="51"/>
      <c r="Q53"/>
      <c r="R53"/>
      <c r="S53"/>
    </row>
    <row r="54" spans="3:19" ht="24.75" customHeight="1">
      <c r="C54" s="48"/>
      <c r="D54" s="49"/>
      <c r="E54" s="49"/>
      <c r="F54" s="49"/>
      <c r="G54" s="49"/>
      <c r="H54" s="49"/>
      <c r="I54" s="50"/>
      <c r="J54" s="51"/>
      <c r="K54" s="51"/>
      <c r="L54" s="51"/>
      <c r="Q54"/>
      <c r="R54"/>
      <c r="S54"/>
    </row>
    <row r="55" spans="3:19" ht="24.75" customHeight="1">
      <c r="C55" s="48"/>
      <c r="D55" s="49"/>
      <c r="E55" s="49"/>
      <c r="F55" s="49"/>
      <c r="G55" s="49"/>
      <c r="H55" s="49"/>
      <c r="I55" s="50"/>
      <c r="J55" s="51"/>
      <c r="K55" s="51"/>
      <c r="L55" s="51"/>
      <c r="Q55"/>
      <c r="R55"/>
      <c r="S55"/>
    </row>
    <row r="56" spans="3:19" ht="24.75" customHeight="1">
      <c r="C56" s="48"/>
      <c r="D56" s="49"/>
      <c r="E56" s="49"/>
      <c r="F56" s="49"/>
      <c r="G56" s="49"/>
      <c r="H56" s="49"/>
      <c r="I56" s="50"/>
      <c r="J56" s="51"/>
      <c r="K56" s="51"/>
      <c r="L56" s="51"/>
      <c r="Q56"/>
      <c r="R56"/>
      <c r="S56"/>
    </row>
    <row r="57" spans="3:19" ht="24.75" customHeight="1">
      <c r="C57" s="48"/>
      <c r="D57" s="49"/>
      <c r="E57" s="49"/>
      <c r="F57" s="49"/>
      <c r="G57" s="49"/>
      <c r="H57" s="49"/>
      <c r="I57" s="50"/>
      <c r="J57" s="51"/>
      <c r="K57" s="51"/>
      <c r="L57" s="51"/>
      <c r="Q57"/>
      <c r="R57"/>
      <c r="S57"/>
    </row>
    <row r="58" spans="3:19" ht="24.75" customHeight="1">
      <c r="C58" s="48"/>
      <c r="D58" s="49"/>
      <c r="E58" s="49"/>
      <c r="F58" s="49"/>
      <c r="G58" s="49"/>
      <c r="H58" s="49"/>
      <c r="I58" s="50"/>
      <c r="J58" s="51"/>
      <c r="K58" s="51"/>
      <c r="L58" s="51"/>
      <c r="Q58"/>
      <c r="R58"/>
      <c r="S58"/>
    </row>
    <row r="59" spans="3:19" ht="24.75" customHeight="1">
      <c r="C59" s="48"/>
      <c r="D59" s="49"/>
      <c r="E59" s="49"/>
      <c r="F59" s="49"/>
      <c r="G59" s="49"/>
      <c r="H59" s="49"/>
      <c r="I59" s="50"/>
      <c r="J59" s="51"/>
      <c r="K59" s="51"/>
      <c r="L59" s="51"/>
      <c r="Q59"/>
      <c r="R59"/>
      <c r="S59"/>
    </row>
    <row r="60" spans="3:19" ht="24.75" customHeight="1">
      <c r="C60" s="48"/>
      <c r="D60" s="49"/>
      <c r="E60" s="49"/>
      <c r="F60" s="49"/>
      <c r="G60" s="49"/>
      <c r="H60" s="49"/>
      <c r="I60" s="50"/>
      <c r="J60" s="51"/>
      <c r="K60" s="51"/>
      <c r="L60" s="51"/>
      <c r="Q60"/>
      <c r="R60"/>
      <c r="S60"/>
    </row>
    <row r="61" spans="3:19" ht="24.75" customHeight="1">
      <c r="C61" s="48"/>
      <c r="D61" s="49"/>
      <c r="E61" s="49"/>
      <c r="F61" s="49"/>
      <c r="G61" s="49"/>
      <c r="H61" s="49"/>
      <c r="I61" s="50"/>
      <c r="J61" s="51"/>
      <c r="K61" s="51"/>
      <c r="L61" s="51"/>
      <c r="M61"/>
      <c r="N61"/>
      <c r="O61"/>
      <c r="Q61"/>
      <c r="R61"/>
      <c r="S61"/>
    </row>
    <row r="62" spans="3:19" ht="24.75" customHeight="1">
      <c r="C62" s="48"/>
      <c r="D62" s="49"/>
      <c r="E62" s="49"/>
      <c r="F62" s="49"/>
      <c r="G62" s="49"/>
      <c r="H62" s="49"/>
      <c r="I62" s="50"/>
      <c r="J62" s="51"/>
      <c r="K62" s="51"/>
      <c r="L62" s="51"/>
      <c r="M62"/>
      <c r="N62"/>
      <c r="O62"/>
      <c r="Q62"/>
      <c r="R62"/>
      <c r="S62"/>
    </row>
    <row r="63" spans="3:19" ht="24.75" customHeight="1">
      <c r="C63" s="48"/>
      <c r="D63" s="49"/>
      <c r="E63" s="49"/>
      <c r="F63" s="49"/>
      <c r="G63" s="49"/>
      <c r="H63" s="49"/>
      <c r="I63" s="50"/>
      <c r="J63" s="51"/>
      <c r="K63" s="51"/>
      <c r="L63" s="51"/>
      <c r="M63"/>
      <c r="N63"/>
      <c r="O63"/>
      <c r="Q63"/>
      <c r="R63"/>
      <c r="S63"/>
    </row>
    <row r="64" spans="3:19" ht="24.75" customHeight="1">
      <c r="C64" s="48"/>
      <c r="D64" s="49"/>
      <c r="E64" s="49"/>
      <c r="F64" s="49"/>
      <c r="G64" s="49"/>
      <c r="H64" s="49"/>
      <c r="I64" s="50"/>
      <c r="J64" s="51"/>
      <c r="K64" s="51"/>
      <c r="L64" s="51"/>
      <c r="M64"/>
      <c r="N64"/>
      <c r="O64"/>
      <c r="Q64"/>
      <c r="R64"/>
      <c r="S64"/>
    </row>
    <row r="65" spans="3:19" ht="24.75" customHeight="1">
      <c r="C65" s="48"/>
      <c r="D65" s="49"/>
      <c r="E65" s="49"/>
      <c r="F65" s="49"/>
      <c r="G65" s="49"/>
      <c r="H65" s="49"/>
      <c r="I65" s="50"/>
      <c r="J65" s="51"/>
      <c r="K65" s="51"/>
      <c r="L65" s="51"/>
      <c r="M65"/>
      <c r="N65"/>
      <c r="O65"/>
      <c r="Q65"/>
      <c r="R65"/>
      <c r="S65"/>
    </row>
    <row r="66" spans="3:19" ht="24.75" customHeight="1">
      <c r="C66" s="48"/>
      <c r="D66" s="49"/>
      <c r="E66" s="49"/>
      <c r="F66" s="49"/>
      <c r="G66" s="49"/>
      <c r="H66" s="49"/>
      <c r="I66" s="50"/>
      <c r="J66" s="51"/>
      <c r="K66" s="51"/>
      <c r="L66" s="51"/>
      <c r="M66"/>
      <c r="N66"/>
      <c r="O66"/>
      <c r="Q66"/>
      <c r="R66"/>
      <c r="S66"/>
    </row>
    <row r="67" spans="3:19" ht="24.75" customHeight="1">
      <c r="C67" s="48"/>
      <c r="D67" s="49"/>
      <c r="E67" s="49"/>
      <c r="F67" s="49"/>
      <c r="G67" s="49"/>
      <c r="H67" s="49"/>
      <c r="I67" s="50"/>
      <c r="J67" s="51"/>
      <c r="K67" s="51"/>
      <c r="L67" s="51"/>
      <c r="M67"/>
      <c r="N67"/>
      <c r="O67"/>
      <c r="Q67"/>
      <c r="R67"/>
      <c r="S67"/>
    </row>
    <row r="68" spans="3:19" ht="24.75" customHeight="1">
      <c r="C68" s="48"/>
      <c r="D68" s="49"/>
      <c r="E68" s="49"/>
      <c r="F68" s="49"/>
      <c r="G68" s="49"/>
      <c r="H68" s="49"/>
      <c r="I68" s="50"/>
      <c r="J68" s="51"/>
      <c r="K68" s="51"/>
      <c r="L68" s="51"/>
      <c r="M68"/>
      <c r="N68"/>
      <c r="O68"/>
      <c r="Q68"/>
      <c r="R68"/>
      <c r="S68"/>
    </row>
    <row r="69" spans="3:19" ht="24.75" customHeight="1">
      <c r="C69" s="48"/>
      <c r="D69" s="49"/>
      <c r="E69" s="49"/>
      <c r="F69" s="49"/>
      <c r="G69" s="49"/>
      <c r="H69" s="49"/>
      <c r="I69" s="50"/>
      <c r="J69" s="51"/>
      <c r="K69" s="51"/>
      <c r="L69" s="51"/>
      <c r="M69"/>
      <c r="N69"/>
      <c r="O69"/>
      <c r="Q69"/>
      <c r="R69"/>
      <c r="S69"/>
    </row>
    <row r="70" spans="3:19" ht="24.75" customHeight="1">
      <c r="C70" s="48"/>
      <c r="D70" s="49"/>
      <c r="E70" s="49"/>
      <c r="F70" s="49"/>
      <c r="G70" s="49"/>
      <c r="H70" s="49"/>
      <c r="I70" s="50"/>
      <c r="J70" s="51"/>
      <c r="K70" s="51"/>
      <c r="L70" s="51"/>
      <c r="M70"/>
      <c r="N70"/>
      <c r="O70"/>
      <c r="Q70"/>
      <c r="R70"/>
      <c r="S70"/>
    </row>
    <row r="71" spans="3:19" ht="24.75" customHeight="1">
      <c r="C71" s="48"/>
      <c r="D71" s="49"/>
      <c r="E71" s="49"/>
      <c r="F71" s="49"/>
      <c r="G71" s="49"/>
      <c r="H71" s="49"/>
      <c r="I71" s="50"/>
      <c r="J71" s="51"/>
      <c r="K71" s="51"/>
      <c r="L71" s="51"/>
      <c r="M71"/>
      <c r="N71"/>
      <c r="O71"/>
      <c r="Q71"/>
      <c r="R71"/>
      <c r="S71"/>
    </row>
    <row r="72" spans="3:19" ht="24.75" customHeight="1">
      <c r="C72" s="48"/>
      <c r="D72" s="49"/>
      <c r="E72" s="49"/>
      <c r="F72" s="49"/>
      <c r="G72" s="49"/>
      <c r="H72" s="49"/>
      <c r="I72" s="50"/>
      <c r="J72" s="51"/>
      <c r="K72" s="51"/>
      <c r="L72" s="51"/>
      <c r="M72"/>
      <c r="N72"/>
      <c r="O72"/>
      <c r="Q72"/>
      <c r="R72"/>
      <c r="S72"/>
    </row>
    <row r="73" spans="3:19" ht="24.75" customHeight="1">
      <c r="C73" s="48"/>
      <c r="D73" s="49"/>
      <c r="E73" s="49"/>
      <c r="F73" s="49"/>
      <c r="G73" s="49"/>
      <c r="H73" s="49"/>
      <c r="I73" s="50"/>
      <c r="J73" s="51"/>
      <c r="K73" s="51"/>
      <c r="L73" s="51"/>
      <c r="M73"/>
      <c r="N73"/>
      <c r="O73"/>
      <c r="Q73"/>
      <c r="R73"/>
      <c r="S73"/>
    </row>
    <row r="74" spans="3:19" ht="24.75" customHeight="1">
      <c r="C74" s="48"/>
      <c r="D74" s="49"/>
      <c r="E74" s="49"/>
      <c r="F74" s="49"/>
      <c r="G74" s="49"/>
      <c r="H74" s="49"/>
      <c r="I74" s="50"/>
      <c r="J74" s="51"/>
      <c r="K74" s="51"/>
      <c r="L74" s="51"/>
      <c r="M74"/>
      <c r="N74"/>
      <c r="O74"/>
      <c r="Q74"/>
      <c r="R74"/>
      <c r="S74"/>
    </row>
    <row r="75" spans="3:19" ht="24.75" customHeight="1">
      <c r="C75" s="48"/>
      <c r="D75" s="49"/>
      <c r="E75" s="49"/>
      <c r="F75" s="49"/>
      <c r="G75" s="49"/>
      <c r="H75" s="49"/>
      <c r="I75" s="50"/>
      <c r="J75" s="51"/>
      <c r="K75" s="51"/>
      <c r="L75" s="51"/>
      <c r="M75"/>
      <c r="N75"/>
      <c r="O75"/>
      <c r="Q75"/>
      <c r="R75"/>
      <c r="S75"/>
    </row>
    <row r="76" spans="3:19" ht="24.75" customHeight="1">
      <c r="C76" s="48"/>
      <c r="D76" s="49"/>
      <c r="E76" s="49"/>
      <c r="F76" s="49"/>
      <c r="G76" s="49"/>
      <c r="H76" s="49"/>
      <c r="I76" s="50"/>
      <c r="J76" s="51"/>
      <c r="K76" s="51"/>
      <c r="L76" s="51"/>
      <c r="M76"/>
      <c r="N76"/>
      <c r="O76"/>
      <c r="Q76"/>
      <c r="R76"/>
      <c r="S76"/>
    </row>
    <row r="77" spans="3:19" ht="24.75" customHeight="1">
      <c r="C77" s="48"/>
      <c r="D77" s="49"/>
      <c r="E77" s="49"/>
      <c r="F77" s="49"/>
      <c r="G77" s="49"/>
      <c r="H77" s="49"/>
      <c r="I77" s="50"/>
      <c r="J77" s="51"/>
      <c r="K77" s="51"/>
      <c r="L77" s="51"/>
      <c r="M77"/>
      <c r="N77"/>
      <c r="O77"/>
      <c r="Q77"/>
      <c r="R77"/>
      <c r="S77"/>
    </row>
    <row r="78" spans="3:19" ht="24.75" customHeight="1">
      <c r="C78" s="48"/>
      <c r="D78" s="49"/>
      <c r="E78" s="49"/>
      <c r="F78" s="49"/>
      <c r="G78" s="49"/>
      <c r="H78" s="49"/>
      <c r="I78" s="50"/>
      <c r="J78" s="51"/>
      <c r="K78" s="51"/>
      <c r="L78" s="51"/>
      <c r="M78"/>
      <c r="N78"/>
      <c r="O78"/>
      <c r="Q78"/>
      <c r="R78"/>
      <c r="S78"/>
    </row>
    <row r="79" spans="3:19" ht="24.75" customHeight="1">
      <c r="C79" s="48"/>
      <c r="D79" s="49"/>
      <c r="E79" s="49"/>
      <c r="F79" s="49"/>
      <c r="G79" s="49"/>
      <c r="H79" s="49"/>
      <c r="I79" s="50"/>
      <c r="J79" s="51"/>
      <c r="K79" s="51"/>
      <c r="L79" s="51"/>
      <c r="M79"/>
      <c r="N79"/>
      <c r="O79"/>
      <c r="Q79"/>
      <c r="R79"/>
      <c r="S79"/>
    </row>
    <row r="80" spans="3:19" ht="24.75" customHeight="1">
      <c r="C80" s="48"/>
      <c r="D80" s="49"/>
      <c r="E80" s="49"/>
      <c r="F80" s="49"/>
      <c r="G80" s="49"/>
      <c r="H80" s="49"/>
      <c r="I80" s="50"/>
      <c r="J80" s="51"/>
      <c r="K80" s="51"/>
      <c r="L80" s="51"/>
      <c r="M80"/>
      <c r="N80"/>
      <c r="O80"/>
      <c r="Q80"/>
      <c r="R80"/>
      <c r="S80"/>
    </row>
    <row r="81" spans="3:19" ht="24.75" customHeight="1">
      <c r="C81" s="48"/>
      <c r="D81" s="49"/>
      <c r="E81" s="49"/>
      <c r="F81" s="49"/>
      <c r="G81" s="49"/>
      <c r="H81" s="49"/>
      <c r="I81" s="50"/>
      <c r="J81" s="51"/>
      <c r="K81" s="51"/>
      <c r="L81" s="51"/>
      <c r="M81"/>
      <c r="N81"/>
      <c r="O81"/>
      <c r="Q81"/>
      <c r="R81"/>
      <c r="S81"/>
    </row>
    <row r="82" spans="3:19" ht="24.75" customHeight="1">
      <c r="C82" s="48"/>
      <c r="D82" s="49"/>
      <c r="E82" s="49"/>
      <c r="F82" s="49"/>
      <c r="G82" s="49"/>
      <c r="H82" s="49"/>
      <c r="I82" s="50"/>
      <c r="J82" s="51"/>
      <c r="K82" s="51"/>
      <c r="L82" s="51"/>
      <c r="M82"/>
      <c r="N82"/>
      <c r="O82"/>
      <c r="Q82"/>
      <c r="R82"/>
      <c r="S82"/>
    </row>
    <row r="83" spans="3:19" ht="24.75" customHeight="1">
      <c r="C83" s="48"/>
      <c r="D83" s="49"/>
      <c r="E83" s="49"/>
      <c r="F83" s="49"/>
      <c r="G83" s="49"/>
      <c r="H83" s="49"/>
      <c r="I83" s="50"/>
      <c r="J83" s="51"/>
      <c r="K83" s="51"/>
      <c r="L83" s="51"/>
      <c r="M83"/>
      <c r="N83"/>
      <c r="O83"/>
      <c r="Q83"/>
      <c r="R83"/>
      <c r="S83"/>
    </row>
    <row r="84" spans="3:19" ht="24.75" customHeight="1">
      <c r="C84" s="48"/>
      <c r="D84" s="49"/>
      <c r="E84" s="49"/>
      <c r="F84" s="49"/>
      <c r="G84" s="49"/>
      <c r="H84" s="49"/>
      <c r="I84" s="50"/>
      <c r="J84" s="51"/>
      <c r="K84" s="51"/>
      <c r="L84" s="51"/>
      <c r="M84"/>
      <c r="N84"/>
      <c r="O84"/>
      <c r="Q84"/>
      <c r="R84"/>
      <c r="S84"/>
    </row>
    <row r="85" spans="3:19" ht="24.75" customHeight="1">
      <c r="C85" s="48"/>
      <c r="D85" s="49"/>
      <c r="E85" s="49"/>
      <c r="F85" s="49"/>
      <c r="G85" s="49"/>
      <c r="H85" s="49"/>
      <c r="I85" s="50"/>
      <c r="J85" s="51"/>
      <c r="K85" s="51"/>
      <c r="L85" s="51"/>
      <c r="M85"/>
      <c r="N85"/>
      <c r="O85"/>
      <c r="Q85"/>
      <c r="R85"/>
      <c r="S85"/>
    </row>
    <row r="86" spans="3:19" ht="24.75" customHeight="1">
      <c r="C86" s="48"/>
      <c r="D86" s="49"/>
      <c r="E86" s="49"/>
      <c r="F86" s="49"/>
      <c r="G86" s="49"/>
      <c r="H86" s="49"/>
      <c r="I86" s="50"/>
      <c r="J86" s="51"/>
      <c r="K86" s="51"/>
      <c r="L86" s="51"/>
      <c r="M86"/>
      <c r="N86"/>
      <c r="O86"/>
      <c r="Q86"/>
      <c r="R86"/>
      <c r="S86"/>
    </row>
    <row r="87" spans="3:19" ht="24.75" customHeight="1">
      <c r="C87" s="48"/>
      <c r="D87" s="49"/>
      <c r="E87" s="49"/>
      <c r="F87" s="49"/>
      <c r="G87" s="49"/>
      <c r="H87" s="49"/>
      <c r="I87" s="50"/>
      <c r="J87" s="51"/>
      <c r="K87" s="51"/>
      <c r="L87" s="51"/>
      <c r="M87"/>
      <c r="N87"/>
      <c r="O87"/>
      <c r="Q87"/>
      <c r="R87"/>
      <c r="S87"/>
    </row>
    <row r="88" spans="3:19" ht="24.75" customHeight="1">
      <c r="C88" s="48"/>
      <c r="D88" s="49"/>
      <c r="E88" s="49"/>
      <c r="F88" s="49"/>
      <c r="G88" s="49"/>
      <c r="H88" s="49"/>
      <c r="I88" s="50"/>
      <c r="J88" s="51"/>
      <c r="K88" s="51"/>
      <c r="L88" s="51"/>
      <c r="M88"/>
      <c r="N88"/>
      <c r="O88"/>
      <c r="Q88"/>
      <c r="R88"/>
      <c r="S88"/>
    </row>
    <row r="89" spans="3:19" ht="24.75" customHeight="1">
      <c r="C89" s="48"/>
      <c r="D89" s="49"/>
      <c r="E89" s="49"/>
      <c r="F89" s="49"/>
      <c r="G89" s="49"/>
      <c r="H89" s="49"/>
      <c r="I89" s="50"/>
      <c r="J89" s="51"/>
      <c r="K89" s="51"/>
      <c r="L89" s="51"/>
      <c r="M89"/>
      <c r="N89"/>
      <c r="O89"/>
      <c r="Q89"/>
      <c r="R89"/>
      <c r="S89"/>
    </row>
    <row r="90" spans="3:19" ht="24.75" customHeight="1">
      <c r="C90" s="48"/>
      <c r="D90" s="49"/>
      <c r="E90" s="49"/>
      <c r="F90" s="49"/>
      <c r="G90" s="49"/>
      <c r="H90" s="49"/>
      <c r="I90" s="50"/>
      <c r="J90" s="51"/>
      <c r="K90" s="51"/>
      <c r="L90" s="51"/>
      <c r="M90"/>
      <c r="N90"/>
      <c r="O90"/>
      <c r="Q90"/>
      <c r="R90"/>
      <c r="S90"/>
    </row>
    <row r="91" spans="3:19" ht="24.75" customHeight="1">
      <c r="C91" s="48"/>
      <c r="D91" s="49"/>
      <c r="E91" s="49"/>
      <c r="F91" s="49"/>
      <c r="G91" s="49"/>
      <c r="H91" s="49"/>
      <c r="I91" s="50"/>
      <c r="J91" s="51"/>
      <c r="K91" s="51"/>
      <c r="L91" s="51"/>
      <c r="M91"/>
      <c r="N91"/>
      <c r="O91"/>
      <c r="Q91"/>
      <c r="R91"/>
      <c r="S91"/>
    </row>
    <row r="92" spans="3:19" ht="24.75" customHeight="1">
      <c r="C92" s="48"/>
      <c r="D92" s="49"/>
      <c r="E92" s="49"/>
      <c r="F92" s="49"/>
      <c r="G92" s="49"/>
      <c r="H92" s="49"/>
      <c r="I92" s="50"/>
      <c r="J92" s="51"/>
      <c r="K92" s="51"/>
      <c r="L92" s="51"/>
      <c r="M92"/>
      <c r="N92"/>
      <c r="O92"/>
      <c r="Q92"/>
      <c r="R92"/>
      <c r="S92"/>
    </row>
    <row r="93" spans="3:19" ht="24.75" customHeight="1">
      <c r="C93" s="48"/>
      <c r="D93" s="49"/>
      <c r="E93" s="49"/>
      <c r="F93" s="49"/>
      <c r="G93" s="49"/>
      <c r="H93" s="49"/>
      <c r="I93" s="50"/>
      <c r="J93" s="51"/>
      <c r="K93" s="51"/>
      <c r="L93" s="51"/>
      <c r="M93"/>
      <c r="N93"/>
      <c r="O93"/>
      <c r="Q93"/>
      <c r="R93"/>
      <c r="S93"/>
    </row>
    <row r="94" spans="3:19" ht="24.75" customHeight="1">
      <c r="C94" s="48"/>
      <c r="D94" s="49"/>
      <c r="E94" s="49"/>
      <c r="F94" s="49"/>
      <c r="G94" s="49"/>
      <c r="H94" s="49"/>
      <c r="I94" s="50"/>
      <c r="J94" s="51"/>
      <c r="K94" s="51"/>
      <c r="L94" s="51"/>
      <c r="M94"/>
      <c r="N94"/>
      <c r="O94"/>
      <c r="Q94"/>
      <c r="R94"/>
      <c r="S94"/>
    </row>
    <row r="95" spans="3:19" ht="24.75" customHeight="1">
      <c r="C95" s="48"/>
      <c r="D95" s="49"/>
      <c r="E95" s="49"/>
      <c r="F95" s="49"/>
      <c r="G95" s="49"/>
      <c r="H95" s="49"/>
      <c r="I95" s="50"/>
      <c r="J95" s="51"/>
      <c r="K95" s="51"/>
      <c r="L95" s="51"/>
      <c r="M95"/>
      <c r="N95"/>
      <c r="O95"/>
      <c r="Q95"/>
      <c r="R95"/>
      <c r="S95"/>
    </row>
    <row r="96" spans="3:19" ht="24.75" customHeight="1">
      <c r="C96" s="48"/>
      <c r="D96" s="49"/>
      <c r="E96" s="49"/>
      <c r="F96" s="49"/>
      <c r="G96" s="49"/>
      <c r="H96" s="49"/>
      <c r="I96" s="50"/>
      <c r="J96" s="51"/>
      <c r="K96" s="51"/>
      <c r="L96" s="51"/>
      <c r="M96"/>
      <c r="N96"/>
      <c r="O96"/>
      <c r="Q96"/>
      <c r="R96"/>
      <c r="S96"/>
    </row>
    <row r="97" spans="3:19" ht="24.75" customHeight="1">
      <c r="C97" s="48"/>
      <c r="D97" s="49"/>
      <c r="E97" s="49"/>
      <c r="F97" s="49"/>
      <c r="G97" s="49"/>
      <c r="H97" s="49"/>
      <c r="I97" s="50"/>
      <c r="J97" s="51"/>
      <c r="K97" s="51"/>
      <c r="L97" s="51"/>
      <c r="M97"/>
      <c r="N97"/>
      <c r="O97"/>
      <c r="Q97"/>
      <c r="R97"/>
      <c r="S97"/>
    </row>
    <row r="98" spans="3:19" ht="24.75" customHeight="1">
      <c r="C98" s="48"/>
      <c r="D98" s="49"/>
      <c r="E98" s="49"/>
      <c r="F98" s="49"/>
      <c r="G98" s="49"/>
      <c r="H98" s="49"/>
      <c r="I98" s="50"/>
      <c r="J98" s="51"/>
      <c r="K98" s="51"/>
      <c r="L98" s="51"/>
      <c r="M98"/>
      <c r="N98"/>
      <c r="O98"/>
      <c r="Q98"/>
      <c r="R98"/>
      <c r="S98"/>
    </row>
    <row r="99" spans="3:19" ht="24.75" customHeight="1">
      <c r="C99" s="48"/>
      <c r="D99" s="49"/>
      <c r="E99" s="49"/>
      <c r="F99" s="49"/>
      <c r="G99" s="49"/>
      <c r="H99" s="49"/>
      <c r="I99" s="50"/>
      <c r="J99" s="51"/>
      <c r="K99" s="51"/>
      <c r="L99" s="51"/>
      <c r="M99"/>
      <c r="N99"/>
      <c r="O99"/>
      <c r="Q99"/>
      <c r="R99"/>
      <c r="S99"/>
    </row>
    <row r="100" spans="3:19" ht="24.75" customHeight="1">
      <c r="C100" s="48"/>
      <c r="D100" s="49"/>
      <c r="E100" s="49"/>
      <c r="F100" s="49"/>
      <c r="G100" s="49"/>
      <c r="H100" s="49"/>
      <c r="I100" s="50"/>
      <c r="J100" s="51"/>
      <c r="K100" s="51"/>
      <c r="L100" s="51"/>
      <c r="M100"/>
      <c r="N100"/>
      <c r="O100"/>
      <c r="Q100"/>
      <c r="R100"/>
      <c r="S100"/>
    </row>
    <row r="101" spans="3:19" ht="24.75" customHeight="1">
      <c r="C101" s="48"/>
      <c r="D101" s="49"/>
      <c r="E101" s="49"/>
      <c r="F101" s="49"/>
      <c r="G101" s="49"/>
      <c r="H101" s="49"/>
      <c r="I101" s="50"/>
      <c r="J101" s="51"/>
      <c r="K101" s="51"/>
      <c r="L101" s="51"/>
      <c r="M101"/>
      <c r="N101"/>
      <c r="O101"/>
      <c r="Q101"/>
      <c r="R101"/>
      <c r="S101"/>
    </row>
    <row r="102" spans="3:19" ht="24.75" customHeight="1">
      <c r="C102" s="48"/>
      <c r="D102" s="49"/>
      <c r="E102" s="49"/>
      <c r="F102" s="49"/>
      <c r="G102" s="49"/>
      <c r="H102" s="49"/>
      <c r="I102" s="50"/>
      <c r="J102" s="51"/>
      <c r="K102" s="51"/>
      <c r="L102" s="51"/>
      <c r="M102"/>
      <c r="N102"/>
      <c r="O102"/>
      <c r="Q102"/>
      <c r="R102"/>
      <c r="S102"/>
    </row>
    <row r="103" spans="3:19" ht="24.75" customHeight="1">
      <c r="C103" s="48"/>
      <c r="D103" s="49"/>
      <c r="E103" s="49"/>
      <c r="F103" s="49"/>
      <c r="G103" s="49"/>
      <c r="H103" s="49"/>
      <c r="I103" s="50"/>
      <c r="J103" s="51"/>
      <c r="K103" s="51"/>
      <c r="L103" s="51"/>
      <c r="M103"/>
      <c r="N103"/>
      <c r="O103"/>
      <c r="Q103"/>
      <c r="R103"/>
      <c r="S103"/>
    </row>
    <row r="104" spans="3:19" ht="24.75" customHeight="1">
      <c r="C104" s="48"/>
      <c r="D104" s="49"/>
      <c r="E104" s="49"/>
      <c r="F104" s="49"/>
      <c r="G104" s="49"/>
      <c r="H104" s="49"/>
      <c r="I104" s="50"/>
      <c r="J104" s="51"/>
      <c r="K104" s="51"/>
      <c r="L104" s="51"/>
      <c r="M104"/>
      <c r="N104"/>
      <c r="O104"/>
      <c r="Q104"/>
      <c r="R104"/>
      <c r="S104"/>
    </row>
    <row r="105" spans="3:19" ht="24.75" customHeight="1">
      <c r="C105" s="48"/>
      <c r="D105" s="49"/>
      <c r="E105" s="49"/>
      <c r="F105" s="49"/>
      <c r="G105" s="49"/>
      <c r="H105" s="49"/>
      <c r="I105" s="50"/>
      <c r="J105" s="51"/>
      <c r="K105" s="51"/>
      <c r="L105" s="51"/>
      <c r="M105"/>
      <c r="N105"/>
      <c r="O105"/>
      <c r="Q105"/>
      <c r="R105"/>
      <c r="S105"/>
    </row>
    <row r="106" spans="3:19" ht="24.75" customHeight="1">
      <c r="C106" s="48"/>
      <c r="D106" s="49"/>
      <c r="E106" s="49"/>
      <c r="F106" s="49"/>
      <c r="G106" s="49"/>
      <c r="H106" s="49"/>
      <c r="I106" s="50"/>
      <c r="J106" s="51"/>
      <c r="K106" s="51"/>
      <c r="L106" s="51"/>
      <c r="M106"/>
      <c r="N106"/>
      <c r="O106"/>
      <c r="Q106"/>
      <c r="R106"/>
      <c r="S106"/>
    </row>
    <row r="107" spans="3:19" ht="24.75" customHeight="1">
      <c r="C107" s="48"/>
      <c r="D107" s="49"/>
      <c r="E107" s="49"/>
      <c r="F107" s="49"/>
      <c r="G107" s="49"/>
      <c r="H107" s="49"/>
      <c r="I107" s="50"/>
      <c r="J107" s="51"/>
      <c r="K107" s="51"/>
      <c r="L107" s="51"/>
      <c r="M107"/>
      <c r="N107"/>
      <c r="O107"/>
      <c r="Q107"/>
      <c r="R107"/>
      <c r="S107"/>
    </row>
    <row r="108" spans="3:19" ht="24.75" customHeight="1">
      <c r="C108" s="48"/>
      <c r="D108" s="49"/>
      <c r="E108" s="49"/>
      <c r="F108" s="49"/>
      <c r="G108" s="49"/>
      <c r="H108" s="49"/>
      <c r="I108" s="50"/>
      <c r="J108" s="51"/>
      <c r="K108" s="51"/>
      <c r="L108" s="51"/>
      <c r="M108"/>
      <c r="N108"/>
      <c r="O108"/>
      <c r="Q108"/>
      <c r="R108"/>
      <c r="S108"/>
    </row>
    <row r="109" spans="3:19" ht="24.75" customHeight="1">
      <c r="C109" s="48"/>
      <c r="D109" s="49"/>
      <c r="E109" s="49"/>
      <c r="F109" s="49"/>
      <c r="G109" s="49"/>
      <c r="H109" s="49"/>
      <c r="I109" s="50"/>
      <c r="J109" s="51"/>
      <c r="K109" s="51"/>
      <c r="L109" s="51"/>
      <c r="M109"/>
      <c r="N109"/>
      <c r="O109"/>
      <c r="Q109"/>
      <c r="R109"/>
      <c r="S109"/>
    </row>
    <row r="110" spans="3:19" ht="24.75" customHeight="1">
      <c r="C110" s="48"/>
      <c r="D110" s="49"/>
      <c r="E110" s="49"/>
      <c r="F110" s="49"/>
      <c r="G110" s="49"/>
      <c r="H110" s="49"/>
      <c r="I110" s="50"/>
      <c r="J110" s="51"/>
      <c r="K110" s="51"/>
      <c r="L110" s="51"/>
      <c r="M110"/>
      <c r="N110"/>
      <c r="O110"/>
      <c r="Q110"/>
      <c r="R110"/>
      <c r="S110"/>
    </row>
    <row r="111" spans="3:19" ht="24.75" customHeight="1">
      <c r="C111" s="48"/>
      <c r="D111" s="49"/>
      <c r="E111" s="49"/>
      <c r="F111" s="49"/>
      <c r="G111" s="49"/>
      <c r="H111" s="49"/>
      <c r="I111" s="50"/>
      <c r="J111" s="51"/>
      <c r="K111" s="51"/>
      <c r="L111" s="51"/>
      <c r="M111"/>
      <c r="N111"/>
      <c r="O111"/>
      <c r="Q111"/>
      <c r="R111"/>
      <c r="S111"/>
    </row>
    <row r="112" spans="3:19" ht="24.75" customHeight="1">
      <c r="C112" s="48"/>
      <c r="D112" s="49"/>
      <c r="E112" s="49"/>
      <c r="F112" s="49"/>
      <c r="G112" s="49"/>
      <c r="H112" s="49"/>
      <c r="I112" s="50"/>
      <c r="J112" s="51"/>
      <c r="K112" s="51"/>
      <c r="L112" s="51"/>
      <c r="M112"/>
      <c r="N112"/>
      <c r="O112"/>
      <c r="Q112"/>
      <c r="R112"/>
      <c r="S112"/>
    </row>
  </sheetData>
  <sheetProtection password="EFEB" sheet="1" objects="1" scenarios="1"/>
  <mergeCells count="6">
    <mergeCell ref="D33:K33"/>
    <mergeCell ref="B2:S2"/>
    <mergeCell ref="M3:O3"/>
    <mergeCell ref="Q3:S3"/>
    <mergeCell ref="J4:L4"/>
    <mergeCell ref="D31:K3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B1:AK113"/>
  <sheetViews>
    <sheetView topLeftCell="A15" workbookViewId="0">
      <selection activeCell="A24" sqref="A24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42" customWidth="1"/>
    <col min="7" max="7" width="38.85546875" hidden="1" customWidth="1"/>
    <col min="8" max="8" width="38.85546875" customWidth="1"/>
    <col min="9" max="9" width="25.5703125" style="2" customWidth="1"/>
    <col min="10" max="12" width="9.140625" style="3"/>
    <col min="13" max="15" width="14.140625" style="4" customWidth="1"/>
    <col min="16" max="16" width="13.5703125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140625" customWidth="1"/>
    <col min="255" max="255" width="13.1406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5" width="14.140625" customWidth="1"/>
    <col min="266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140625" customWidth="1"/>
    <col min="511" max="511" width="13.1406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1" width="14.140625" customWidth="1"/>
    <col min="522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140625" customWidth="1"/>
    <col min="767" max="767" width="13.1406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7" width="14.140625" customWidth="1"/>
    <col min="778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140625" customWidth="1"/>
    <col min="1023" max="1023" width="13.1406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3" width="14.140625" customWidth="1"/>
    <col min="1034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140625" customWidth="1"/>
    <col min="1279" max="1279" width="13.1406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9" width="14.140625" customWidth="1"/>
    <col min="1290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140625" customWidth="1"/>
    <col min="1535" max="1535" width="13.1406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5" width="14.140625" customWidth="1"/>
    <col min="1546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140625" customWidth="1"/>
    <col min="1791" max="1791" width="13.1406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1" width="14.140625" customWidth="1"/>
    <col min="1802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140625" customWidth="1"/>
    <col min="2047" max="2047" width="13.1406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7" width="14.140625" customWidth="1"/>
    <col min="2058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140625" customWidth="1"/>
    <col min="2303" max="2303" width="13.1406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3" width="14.140625" customWidth="1"/>
    <col min="2314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140625" customWidth="1"/>
    <col min="2559" max="2559" width="13.1406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9" width="14.140625" customWidth="1"/>
    <col min="2570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140625" customWidth="1"/>
    <col min="2815" max="2815" width="13.1406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5" width="14.140625" customWidth="1"/>
    <col min="2826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140625" customWidth="1"/>
    <col min="3071" max="3071" width="13.1406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1" width="14.140625" customWidth="1"/>
    <col min="3082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140625" customWidth="1"/>
    <col min="3327" max="3327" width="13.1406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7" width="14.140625" customWidth="1"/>
    <col min="3338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140625" customWidth="1"/>
    <col min="3583" max="3583" width="13.1406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3" width="14.140625" customWidth="1"/>
    <col min="3594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140625" customWidth="1"/>
    <col min="3839" max="3839" width="13.1406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9" width="14.140625" customWidth="1"/>
    <col min="3850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140625" customWidth="1"/>
    <col min="4095" max="4095" width="13.1406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5" width="14.140625" customWidth="1"/>
    <col min="4106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140625" customWidth="1"/>
    <col min="4351" max="4351" width="13.1406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1" width="14.140625" customWidth="1"/>
    <col min="4362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140625" customWidth="1"/>
    <col min="4607" max="4607" width="13.1406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7" width="14.140625" customWidth="1"/>
    <col min="4618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140625" customWidth="1"/>
    <col min="4863" max="4863" width="13.1406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3" width="14.140625" customWidth="1"/>
    <col min="4874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140625" customWidth="1"/>
    <col min="5119" max="5119" width="13.1406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9" width="14.140625" customWidth="1"/>
    <col min="5130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140625" customWidth="1"/>
    <col min="5375" max="5375" width="13.1406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5" width="14.140625" customWidth="1"/>
    <col min="5386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140625" customWidth="1"/>
    <col min="5631" max="5631" width="13.1406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1" width="14.140625" customWidth="1"/>
    <col min="5642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140625" customWidth="1"/>
    <col min="5887" max="5887" width="13.1406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7" width="14.140625" customWidth="1"/>
    <col min="5898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140625" customWidth="1"/>
    <col min="6143" max="6143" width="13.1406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3" width="14.140625" customWidth="1"/>
    <col min="6154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140625" customWidth="1"/>
    <col min="6399" max="6399" width="13.1406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9" width="14.140625" customWidth="1"/>
    <col min="6410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140625" customWidth="1"/>
    <col min="6655" max="6655" width="13.1406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5" width="14.140625" customWidth="1"/>
    <col min="6666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140625" customWidth="1"/>
    <col min="6911" max="6911" width="13.1406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1" width="14.140625" customWidth="1"/>
    <col min="6922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140625" customWidth="1"/>
    <col min="7167" max="7167" width="13.1406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7" width="14.140625" customWidth="1"/>
    <col min="7178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140625" customWidth="1"/>
    <col min="7423" max="7423" width="13.1406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3" width="14.140625" customWidth="1"/>
    <col min="7434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140625" customWidth="1"/>
    <col min="7679" max="7679" width="13.1406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9" width="14.140625" customWidth="1"/>
    <col min="7690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140625" customWidth="1"/>
    <col min="7935" max="7935" width="13.1406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5" width="14.140625" customWidth="1"/>
    <col min="7946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140625" customWidth="1"/>
    <col min="8191" max="8191" width="13.1406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1" width="14.140625" customWidth="1"/>
    <col min="8202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140625" customWidth="1"/>
    <col min="8447" max="8447" width="13.1406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7" width="14.140625" customWidth="1"/>
    <col min="8458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140625" customWidth="1"/>
    <col min="8703" max="8703" width="13.1406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3" width="14.140625" customWidth="1"/>
    <col min="8714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140625" customWidth="1"/>
    <col min="8959" max="8959" width="13.1406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9" width="14.140625" customWidth="1"/>
    <col min="8970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140625" customWidth="1"/>
    <col min="9215" max="9215" width="13.1406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5" width="14.140625" customWidth="1"/>
    <col min="9226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140625" customWidth="1"/>
    <col min="9471" max="9471" width="13.1406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1" width="14.140625" customWidth="1"/>
    <col min="9482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140625" customWidth="1"/>
    <col min="9727" max="9727" width="13.1406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7" width="14.140625" customWidth="1"/>
    <col min="9738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140625" customWidth="1"/>
    <col min="9983" max="9983" width="13.1406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3" width="14.140625" customWidth="1"/>
    <col min="9994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140625" customWidth="1"/>
    <col min="10239" max="10239" width="13.1406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9" width="14.140625" customWidth="1"/>
    <col min="10250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140625" customWidth="1"/>
    <col min="10495" max="10495" width="13.1406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5" width="14.140625" customWidth="1"/>
    <col min="10506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140625" customWidth="1"/>
    <col min="10751" max="10751" width="13.1406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1" width="14.140625" customWidth="1"/>
    <col min="10762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140625" customWidth="1"/>
    <col min="11007" max="11007" width="13.1406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7" width="14.140625" customWidth="1"/>
    <col min="11018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140625" customWidth="1"/>
    <col min="11263" max="11263" width="13.1406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3" width="14.140625" customWidth="1"/>
    <col min="11274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140625" customWidth="1"/>
    <col min="11519" max="11519" width="13.1406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9" width="14.140625" customWidth="1"/>
    <col min="11530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140625" customWidth="1"/>
    <col min="11775" max="11775" width="13.1406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5" width="14.140625" customWidth="1"/>
    <col min="11786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140625" customWidth="1"/>
    <col min="12031" max="12031" width="13.1406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1" width="14.140625" customWidth="1"/>
    <col min="12042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140625" customWidth="1"/>
    <col min="12287" max="12287" width="13.1406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7" width="14.140625" customWidth="1"/>
    <col min="12298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140625" customWidth="1"/>
    <col min="12543" max="12543" width="13.1406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3" width="14.140625" customWidth="1"/>
    <col min="12554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140625" customWidth="1"/>
    <col min="12799" max="12799" width="13.1406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9" width="14.140625" customWidth="1"/>
    <col min="12810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140625" customWidth="1"/>
    <col min="13055" max="13055" width="13.1406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5" width="14.140625" customWidth="1"/>
    <col min="13066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140625" customWidth="1"/>
    <col min="13311" max="13311" width="13.1406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1" width="14.140625" customWidth="1"/>
    <col min="13322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140625" customWidth="1"/>
    <col min="13567" max="13567" width="13.1406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7" width="14.140625" customWidth="1"/>
    <col min="13578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140625" customWidth="1"/>
    <col min="13823" max="13823" width="13.1406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3" width="14.140625" customWidth="1"/>
    <col min="13834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140625" customWidth="1"/>
    <col min="14079" max="14079" width="13.1406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9" width="14.140625" customWidth="1"/>
    <col min="14090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140625" customWidth="1"/>
    <col min="14335" max="14335" width="13.1406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5" width="14.140625" customWidth="1"/>
    <col min="14346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140625" customWidth="1"/>
    <col min="14591" max="14591" width="13.1406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1" width="14.140625" customWidth="1"/>
    <col min="14602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140625" customWidth="1"/>
    <col min="14847" max="14847" width="13.1406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7" width="14.140625" customWidth="1"/>
    <col min="14858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140625" customWidth="1"/>
    <col min="15103" max="15103" width="13.1406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3" width="14.140625" customWidth="1"/>
    <col min="15114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140625" customWidth="1"/>
    <col min="15359" max="15359" width="13.1406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9" width="14.140625" customWidth="1"/>
    <col min="15370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140625" customWidth="1"/>
    <col min="15615" max="15615" width="13.1406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5" width="14.140625" customWidth="1"/>
    <col min="15626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140625" customWidth="1"/>
    <col min="15871" max="15871" width="13.1406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1" width="14.140625" customWidth="1"/>
    <col min="15882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140625" customWidth="1"/>
    <col min="16127" max="16127" width="13.1406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7" width="14.140625" customWidth="1"/>
    <col min="16138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1" spans="2:37" ht="24.75" customHeight="1"/>
    <row r="2" spans="2:37" s="7" customFormat="1" ht="24.75" customHeight="1" thickBot="1">
      <c r="B2" s="357" t="s">
        <v>175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65"/>
      <c r="N2" s="365"/>
      <c r="O2" s="365"/>
      <c r="P2" s="365"/>
      <c r="Q2" s="365"/>
      <c r="R2" s="365"/>
      <c r="S2" s="365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2:37" s="7" customFormat="1" ht="32.25" customHeight="1" thickBot="1">
      <c r="B3" s="86"/>
      <c r="C3" s="86"/>
      <c r="D3" s="86"/>
      <c r="E3" s="330"/>
      <c r="F3" s="162"/>
      <c r="G3" s="162"/>
      <c r="H3" s="162"/>
      <c r="I3" s="86"/>
      <c r="J3" s="86"/>
      <c r="K3" s="86"/>
      <c r="L3" s="126"/>
      <c r="M3" s="372" t="s">
        <v>26</v>
      </c>
      <c r="N3" s="373"/>
      <c r="O3" s="374"/>
      <c r="P3" s="90" t="s">
        <v>33</v>
      </c>
      <c r="Q3" s="373" t="s">
        <v>34</v>
      </c>
      <c r="R3" s="373"/>
      <c r="S3" s="374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2:37" ht="38.25" customHeight="1" thickBot="1">
      <c r="B4" s="158" t="s">
        <v>0</v>
      </c>
      <c r="C4" s="192" t="s">
        <v>165</v>
      </c>
      <c r="D4" s="331" t="s">
        <v>1</v>
      </c>
      <c r="E4" s="158" t="s">
        <v>481</v>
      </c>
      <c r="F4" s="158" t="s">
        <v>115</v>
      </c>
      <c r="G4" s="185" t="s">
        <v>164</v>
      </c>
      <c r="H4" s="158" t="s">
        <v>116</v>
      </c>
      <c r="I4" s="158" t="s">
        <v>2</v>
      </c>
      <c r="J4" s="375" t="s">
        <v>3</v>
      </c>
      <c r="K4" s="375"/>
      <c r="L4" s="376"/>
      <c r="M4" s="154" t="s">
        <v>27</v>
      </c>
      <c r="N4" s="171" t="s">
        <v>28</v>
      </c>
      <c r="O4" s="176" t="s">
        <v>29</v>
      </c>
      <c r="P4" s="172" t="s">
        <v>27</v>
      </c>
      <c r="Q4" s="173" t="s">
        <v>4</v>
      </c>
      <c r="R4" s="175" t="s">
        <v>5</v>
      </c>
      <c r="S4" s="174" t="s">
        <v>6</v>
      </c>
    </row>
    <row r="5" spans="2:37" s="16" customFormat="1" ht="35.25" customHeight="1">
      <c r="B5" s="106">
        <v>1</v>
      </c>
      <c r="C5" s="337" t="s">
        <v>794</v>
      </c>
      <c r="D5" s="111" t="s">
        <v>819</v>
      </c>
      <c r="E5" s="338" t="s">
        <v>830</v>
      </c>
      <c r="F5" s="339" t="s">
        <v>137</v>
      </c>
      <c r="G5" s="215" t="s">
        <v>851</v>
      </c>
      <c r="H5" s="109" t="str">
        <f>UPPER(G5)</f>
        <v>PARTICIPAR DE REUNIÃO DE VALIDAÇÃO DO ANTEPROJETO E DO PLANEJAMENTO ESTRATÉGICO DA INICIATIVA NACIONAL DE GENÔMICA E DE MEDICINA DE PRECISÃO</v>
      </c>
      <c r="I5" s="111" t="s">
        <v>65</v>
      </c>
      <c r="J5" s="110">
        <v>43739</v>
      </c>
      <c r="K5" s="111">
        <v>15</v>
      </c>
      <c r="L5" s="112">
        <v>16</v>
      </c>
      <c r="M5" s="124">
        <v>0</v>
      </c>
      <c r="N5" s="124">
        <v>0</v>
      </c>
      <c r="O5" s="124"/>
      <c r="P5" s="118"/>
      <c r="Q5" s="113">
        <f>696.03+694.57</f>
        <v>1390.6</v>
      </c>
      <c r="R5" s="114">
        <v>353.05</v>
      </c>
      <c r="S5" s="115">
        <f t="shared" ref="S5:S30" si="0">M5+N5+O5+P5+Q5+R5</f>
        <v>1743.6499999999999</v>
      </c>
      <c r="T5" s="15"/>
      <c r="U5" s="15"/>
      <c r="V5" s="15"/>
      <c r="W5" s="15"/>
    </row>
    <row r="6" spans="2:37" s="16" customFormat="1" ht="36.75" customHeight="1">
      <c r="B6" s="94">
        <v>2</v>
      </c>
      <c r="C6" s="332" t="s">
        <v>795</v>
      </c>
      <c r="D6" s="10" t="s">
        <v>820</v>
      </c>
      <c r="E6" s="294" t="s">
        <v>831</v>
      </c>
      <c r="F6" s="9" t="s">
        <v>842</v>
      </c>
      <c r="G6" s="9" t="s">
        <v>662</v>
      </c>
      <c r="H6" s="9" t="str">
        <f>UPPER(G6)</f>
        <v>DESEMPENHARÁ CONSULTORIA PARA AS ATIVIDADES DO LABORATÓRIO DE SIMULAÇÃO DO TRÂNSITO (TREINAMENTO DA EQUIPE, DESENVOLVIMENTO DE PROTOCOLOS E ANÁLISE DE DADOS) </v>
      </c>
      <c r="I6" s="9" t="s">
        <v>870</v>
      </c>
      <c r="J6" s="198" t="s">
        <v>873</v>
      </c>
      <c r="K6" s="340">
        <v>43775</v>
      </c>
      <c r="L6" s="340">
        <v>43816</v>
      </c>
      <c r="M6" s="57">
        <v>0</v>
      </c>
      <c r="N6" s="57">
        <v>0</v>
      </c>
      <c r="O6" s="57"/>
      <c r="P6" s="54"/>
      <c r="Q6" s="315">
        <v>6223.38</v>
      </c>
      <c r="R6" s="313">
        <f>2012.5+100.87+2012.5+5.5+2012.5+1725+2012.5+4140+862.5+126.06</f>
        <v>15009.929999999998</v>
      </c>
      <c r="S6" s="93">
        <f t="shared" si="0"/>
        <v>21233.309999999998</v>
      </c>
      <c r="T6" s="15"/>
      <c r="U6" s="15"/>
      <c r="V6" s="15"/>
      <c r="W6" s="15"/>
    </row>
    <row r="7" spans="2:37" s="16" customFormat="1" ht="39" customHeight="1">
      <c r="B7" s="94">
        <v>3</v>
      </c>
      <c r="C7" s="332" t="s">
        <v>796</v>
      </c>
      <c r="D7" s="10" t="s">
        <v>821</v>
      </c>
      <c r="E7" s="316" t="s">
        <v>832</v>
      </c>
      <c r="F7" s="9" t="s">
        <v>843</v>
      </c>
      <c r="G7" s="202" t="s">
        <v>852</v>
      </c>
      <c r="H7" s="9" t="str">
        <f t="shared" ref="H7:H30" si="1">UPPER(G7)</f>
        <v>PARTICIPAR 2° WORKSHOP DO PROJETO LEAN NAS EMERGÊNCIAS, PARA OS HOSPITAIS PARTICIPANTES DO PROJETO.</v>
      </c>
      <c r="I7" s="9" t="s">
        <v>358</v>
      </c>
      <c r="J7" s="17">
        <v>43739</v>
      </c>
      <c r="K7" s="10">
        <v>10</v>
      </c>
      <c r="L7" s="197">
        <v>10</v>
      </c>
      <c r="M7" s="57">
        <v>0</v>
      </c>
      <c r="N7" s="57">
        <v>0</v>
      </c>
      <c r="O7" s="57"/>
      <c r="P7" s="54"/>
      <c r="Q7" s="13">
        <v>1493.88</v>
      </c>
      <c r="R7" s="14">
        <v>0</v>
      </c>
      <c r="S7" s="93">
        <f t="shared" si="0"/>
        <v>1493.88</v>
      </c>
      <c r="T7" s="15"/>
      <c r="U7" s="15"/>
      <c r="V7" s="15"/>
      <c r="W7" s="15"/>
    </row>
    <row r="8" spans="2:37" s="16" customFormat="1" ht="37.5" customHeight="1">
      <c r="B8" s="94">
        <v>4</v>
      </c>
      <c r="C8" s="333" t="s">
        <v>797</v>
      </c>
      <c r="D8" s="10" t="s">
        <v>822</v>
      </c>
      <c r="E8" s="316" t="s">
        <v>833</v>
      </c>
      <c r="F8" s="9" t="s">
        <v>844</v>
      </c>
      <c r="G8" s="164" t="s">
        <v>852</v>
      </c>
      <c r="H8" s="9" t="str">
        <f t="shared" si="1"/>
        <v>PARTICIPAR 2° WORKSHOP DO PROJETO LEAN NAS EMERGÊNCIAS, PARA OS HOSPITAIS PARTICIPANTES DO PROJETO.</v>
      </c>
      <c r="I8" s="9" t="s">
        <v>358</v>
      </c>
      <c r="J8" s="17">
        <v>43739</v>
      </c>
      <c r="K8" s="10">
        <v>10</v>
      </c>
      <c r="L8" s="197">
        <v>10</v>
      </c>
      <c r="M8" s="57">
        <v>0</v>
      </c>
      <c r="N8" s="57">
        <v>0</v>
      </c>
      <c r="O8" s="57"/>
      <c r="P8" s="54"/>
      <c r="Q8" s="13">
        <v>1493.88</v>
      </c>
      <c r="R8" s="14">
        <v>0</v>
      </c>
      <c r="S8" s="93">
        <f t="shared" si="0"/>
        <v>1493.88</v>
      </c>
      <c r="T8" s="15"/>
      <c r="U8" s="15"/>
      <c r="V8" s="15"/>
      <c r="W8" s="15"/>
    </row>
    <row r="9" spans="2:37" s="16" customFormat="1" ht="35.25" customHeight="1">
      <c r="B9" s="94">
        <v>5</v>
      </c>
      <c r="C9" s="333" t="s">
        <v>798</v>
      </c>
      <c r="D9" s="10" t="s">
        <v>231</v>
      </c>
      <c r="E9" s="316" t="s">
        <v>518</v>
      </c>
      <c r="F9" s="10" t="s">
        <v>232</v>
      </c>
      <c r="G9" s="164" t="s">
        <v>853</v>
      </c>
      <c r="H9" s="9" t="str">
        <f t="shared" si="1"/>
        <v>PARTICIPAR COMO PALESTRANTE E PARTICIPANTE DO V CONGRESSO BRASILEIRO DE HOSPITAIS UNIVERSITÁRIOS E DE ENSINO - ABRAHUE</v>
      </c>
      <c r="I9" s="9" t="s">
        <v>871</v>
      </c>
      <c r="J9" s="198">
        <v>43800</v>
      </c>
      <c r="K9" s="199">
        <v>2</v>
      </c>
      <c r="L9" s="200">
        <v>4</v>
      </c>
      <c r="M9" s="57">
        <v>145.01</v>
      </c>
      <c r="N9" s="57">
        <v>145.9</v>
      </c>
      <c r="O9" s="57"/>
      <c r="P9" s="54">
        <v>0</v>
      </c>
      <c r="Q9" s="13">
        <f>885.03+481.03+1566</f>
        <v>2932.06</v>
      </c>
      <c r="R9" s="313">
        <v>743.4</v>
      </c>
      <c r="S9" s="93">
        <f t="shared" si="0"/>
        <v>3966.37</v>
      </c>
      <c r="T9" s="15"/>
      <c r="U9" s="15"/>
      <c r="V9" s="15"/>
      <c r="W9" s="15"/>
    </row>
    <row r="10" spans="2:37" s="16" customFormat="1" ht="35.25" customHeight="1">
      <c r="B10" s="94">
        <v>6</v>
      </c>
      <c r="C10" s="333" t="s">
        <v>799</v>
      </c>
      <c r="D10" s="10" t="s">
        <v>231</v>
      </c>
      <c r="E10" s="316" t="s">
        <v>518</v>
      </c>
      <c r="F10" s="10" t="s">
        <v>232</v>
      </c>
      <c r="G10" s="164" t="s">
        <v>854</v>
      </c>
      <c r="H10" s="9" t="str">
        <f t="shared" si="1"/>
        <v>PARTICIPAR DA CAPACITAÇÃO DA ANAHP - SAÚDE BASEADA NA ENTREGA DE VALOR: O PAPEL DO HOSPITAL COMO INTEGRADOR DO SISTEMA</v>
      </c>
      <c r="I10" s="9" t="s">
        <v>358</v>
      </c>
      <c r="J10" s="198">
        <v>43770</v>
      </c>
      <c r="K10" s="199">
        <v>26</v>
      </c>
      <c r="L10" s="200">
        <v>28</v>
      </c>
      <c r="M10" s="57">
        <v>125.68</v>
      </c>
      <c r="N10" s="57">
        <v>181.7</v>
      </c>
      <c r="O10" s="57"/>
      <c r="P10" s="54">
        <v>0</v>
      </c>
      <c r="Q10" s="13">
        <f>240.03+240.85</f>
        <v>480.88</v>
      </c>
      <c r="R10" s="216">
        <v>590</v>
      </c>
      <c r="S10" s="93">
        <f t="shared" si="0"/>
        <v>1378.26</v>
      </c>
      <c r="T10" s="15"/>
      <c r="U10" s="15"/>
      <c r="V10" s="15"/>
      <c r="W10" s="15"/>
    </row>
    <row r="11" spans="2:37" s="16" customFormat="1" ht="69" customHeight="1">
      <c r="B11" s="94">
        <v>7</v>
      </c>
      <c r="C11" s="333" t="s">
        <v>800</v>
      </c>
      <c r="D11" s="168" t="s">
        <v>689</v>
      </c>
      <c r="E11" s="238" t="s">
        <v>717</v>
      </c>
      <c r="F11" s="164" t="s">
        <v>718</v>
      </c>
      <c r="G11" s="164" t="s">
        <v>855</v>
      </c>
      <c r="H11" s="9" t="str">
        <f t="shared" si="1"/>
        <v>EXÉRCITO/HAMAM - APOIO À IMPLANTAÇÃO AGHUSE - MÓDULOS REGISTRO DE COLABORADORES, CADASTRO DE PACIENTES, INTERNAÇÃO ADMINISTRATIVO, INTERNAÇÃO ASSISTENCIAL, AMBULATÓRIO ADMINISTRATIVO E AMBULATÓRIO ASSISTENCIAL.</v>
      </c>
      <c r="I11" s="10" t="s">
        <v>103</v>
      </c>
      <c r="J11" s="17">
        <v>43739</v>
      </c>
      <c r="K11" s="10">
        <v>21</v>
      </c>
      <c r="L11" s="11">
        <v>24</v>
      </c>
      <c r="M11" s="57">
        <v>48.42</v>
      </c>
      <c r="N11" s="57">
        <v>294.01</v>
      </c>
      <c r="O11" s="57"/>
      <c r="P11" s="54">
        <v>0</v>
      </c>
      <c r="Q11" s="13">
        <f>932.13+1466.85</f>
        <v>2398.98</v>
      </c>
      <c r="R11" s="14">
        <f>587.52+20</f>
        <v>607.52</v>
      </c>
      <c r="S11" s="93">
        <f t="shared" si="0"/>
        <v>3348.93</v>
      </c>
      <c r="T11" s="15"/>
      <c r="U11" s="15"/>
      <c r="V11" s="15"/>
      <c r="W11" s="15"/>
    </row>
    <row r="12" spans="2:37" s="16" customFormat="1" ht="72.75" customHeight="1">
      <c r="B12" s="94">
        <v>8</v>
      </c>
      <c r="C12" s="333" t="s">
        <v>801</v>
      </c>
      <c r="D12" s="168" t="s">
        <v>112</v>
      </c>
      <c r="E12" s="238" t="s">
        <v>498</v>
      </c>
      <c r="F12" s="164" t="s">
        <v>133</v>
      </c>
      <c r="G12" s="164" t="s">
        <v>856</v>
      </c>
      <c r="H12" s="9" t="str">
        <f t="shared" si="1"/>
        <v>APOIO À IMPLANTAÇÃO AGHUSE - MÓDULOS REGISTRO DE COLABORADORES, CADASTRO DE PACIENTES, INTERNAÇÃO ADMINISTRATIVO, INTERNAÇÃO ASSISTENCIAL,  AMBULATÓRIO ADMINISTRATIVO E AMBULATÓRIO ASSISTENCIAL.</v>
      </c>
      <c r="I12" s="9" t="s">
        <v>103</v>
      </c>
      <c r="J12" s="198" t="s">
        <v>874</v>
      </c>
      <c r="K12" s="199">
        <v>21</v>
      </c>
      <c r="L12" s="200">
        <v>1</v>
      </c>
      <c r="M12" s="57">
        <v>163.51</v>
      </c>
      <c r="N12" s="57">
        <v>893.01</v>
      </c>
      <c r="O12" s="57"/>
      <c r="P12" s="54">
        <v>0</v>
      </c>
      <c r="Q12" s="13">
        <f>932.13+902.85</f>
        <v>1834.98</v>
      </c>
      <c r="R12" s="14">
        <f>1958.4+261.5</f>
        <v>2219.9</v>
      </c>
      <c r="S12" s="93">
        <f t="shared" si="0"/>
        <v>5111.3999999999996</v>
      </c>
      <c r="T12" s="15"/>
      <c r="U12" s="15"/>
      <c r="V12" s="15"/>
      <c r="W12" s="15"/>
    </row>
    <row r="13" spans="2:37" s="16" customFormat="1" ht="48.75" customHeight="1">
      <c r="B13" s="94">
        <v>9</v>
      </c>
      <c r="C13" s="333" t="s">
        <v>802</v>
      </c>
      <c r="D13" s="168" t="s">
        <v>823</v>
      </c>
      <c r="E13" s="238" t="s">
        <v>834</v>
      </c>
      <c r="F13" s="164" t="s">
        <v>845</v>
      </c>
      <c r="G13" s="164" t="s">
        <v>857</v>
      </c>
      <c r="H13" s="9" t="str">
        <f t="shared" si="1"/>
        <v>VISITA APOIO À IMPLANTAÇÃO AGHUSE DOS MÓDULOS REGISTRO DE COLABORADORES, CADASTRO DE PACIENTES, INTERNAÇÃO E AMBULATÓRIO</v>
      </c>
      <c r="I13" s="9" t="s">
        <v>103</v>
      </c>
      <c r="J13" s="198" t="s">
        <v>874</v>
      </c>
      <c r="K13" s="199">
        <v>21</v>
      </c>
      <c r="L13" s="200">
        <v>1</v>
      </c>
      <c r="M13" s="57">
        <v>194.06</v>
      </c>
      <c r="N13" s="57">
        <v>989.44</v>
      </c>
      <c r="O13" s="57"/>
      <c r="P13" s="54">
        <v>0</v>
      </c>
      <c r="Q13" s="13">
        <f>932.13+902.85</f>
        <v>1834.98</v>
      </c>
      <c r="R13" s="14">
        <f>2154.24+105</f>
        <v>2259.2399999999998</v>
      </c>
      <c r="S13" s="93">
        <f t="shared" si="0"/>
        <v>5277.7199999999993</v>
      </c>
      <c r="T13" s="15"/>
      <c r="U13" s="15"/>
      <c r="V13" s="15"/>
      <c r="W13" s="15"/>
    </row>
    <row r="14" spans="2:37" s="16" customFormat="1" ht="72" customHeight="1">
      <c r="B14" s="94">
        <v>10</v>
      </c>
      <c r="C14" s="333" t="s">
        <v>803</v>
      </c>
      <c r="D14" s="9" t="s">
        <v>95</v>
      </c>
      <c r="E14" s="238" t="s">
        <v>501</v>
      </c>
      <c r="F14" s="164" t="s">
        <v>752</v>
      </c>
      <c r="G14" s="164" t="s">
        <v>858</v>
      </c>
      <c r="H14" s="9" t="str">
        <f t="shared" si="1"/>
        <v>APOIO À IMPLANTAÇÃO AGHUSE - MÓDULOS REGISTRO DE COLABORADORES, CADASTRO DE PACIENTES, INTERNAÇÃO ADMINISTRATIVO, INTERNAÇÃO ASSISTENCIAL, AMBULATÓRIO ADMINISTRATIVO E AMBULATÓRIO ASSISTENCIAL.</v>
      </c>
      <c r="I14" s="9" t="s">
        <v>103</v>
      </c>
      <c r="J14" s="198" t="s">
        <v>874</v>
      </c>
      <c r="K14" s="199">
        <v>28</v>
      </c>
      <c r="L14" s="200">
        <v>1</v>
      </c>
      <c r="M14" s="57">
        <v>131.11000000000001</v>
      </c>
      <c r="N14" s="57">
        <v>453.07</v>
      </c>
      <c r="O14" s="57"/>
      <c r="P14" s="54">
        <v>0</v>
      </c>
      <c r="Q14" s="13">
        <f>932.13+902.85</f>
        <v>1834.98</v>
      </c>
      <c r="R14" s="14">
        <f>783.36+22</f>
        <v>805.36</v>
      </c>
      <c r="S14" s="93">
        <f t="shared" si="0"/>
        <v>3224.52</v>
      </c>
      <c r="T14" s="15"/>
      <c r="U14" s="15"/>
      <c r="V14" s="15"/>
      <c r="W14" s="15"/>
    </row>
    <row r="15" spans="2:37" s="16" customFormat="1" ht="12.75" customHeight="1">
      <c r="B15" s="94">
        <v>11</v>
      </c>
      <c r="C15" s="334" t="s">
        <v>804</v>
      </c>
      <c r="D15" s="10" t="s">
        <v>304</v>
      </c>
      <c r="E15" s="316" t="s">
        <v>530</v>
      </c>
      <c r="F15" s="10" t="s">
        <v>846</v>
      </c>
      <c r="G15" s="9" t="s">
        <v>859</v>
      </c>
      <c r="H15" s="9" t="str">
        <f t="shared" si="1"/>
        <v>ASSEMBLÉIA GERAL EXTRAORDINÁRIA</v>
      </c>
      <c r="I15" s="9" t="s">
        <v>356</v>
      </c>
      <c r="J15" s="17">
        <v>43739</v>
      </c>
      <c r="K15" s="10">
        <v>14</v>
      </c>
      <c r="L15" s="11">
        <v>14</v>
      </c>
      <c r="M15" s="57">
        <v>66.930000000000007</v>
      </c>
      <c r="N15" s="57">
        <v>30.5</v>
      </c>
      <c r="O15" s="57"/>
      <c r="P15" s="54">
        <v>0</v>
      </c>
      <c r="Q15" s="13">
        <f>1044.57+1832.03</f>
        <v>2876.6</v>
      </c>
      <c r="R15" s="14">
        <v>0</v>
      </c>
      <c r="S15" s="93">
        <f t="shared" si="0"/>
        <v>2974.0299999999997</v>
      </c>
      <c r="T15" s="15"/>
      <c r="U15" s="15"/>
      <c r="V15" s="15"/>
      <c r="W15" s="15"/>
    </row>
    <row r="16" spans="2:37" s="16" customFormat="1" ht="12.75" customHeight="1">
      <c r="B16" s="94">
        <v>12</v>
      </c>
      <c r="C16" s="332" t="s">
        <v>805</v>
      </c>
      <c r="D16" s="10" t="s">
        <v>317</v>
      </c>
      <c r="E16" s="238" t="s">
        <v>542</v>
      </c>
      <c r="F16" s="163" t="s">
        <v>757</v>
      </c>
      <c r="G16" s="164" t="s">
        <v>860</v>
      </c>
      <c r="H16" s="9" t="str">
        <f t="shared" si="1"/>
        <v>PARTICIPAÇÃO NO 10º FÓRUM BRASILEIRO DA ATIVIDADE DE AUDITORIA INTERNA GOVERNAMENTAL</v>
      </c>
      <c r="I16" s="9" t="s">
        <v>65</v>
      </c>
      <c r="J16" s="17">
        <v>43739</v>
      </c>
      <c r="K16" s="10">
        <v>15</v>
      </c>
      <c r="L16" s="197">
        <v>17</v>
      </c>
      <c r="M16" s="57">
        <v>82.31</v>
      </c>
      <c r="N16" s="57">
        <v>201.69</v>
      </c>
      <c r="O16" s="57"/>
      <c r="P16" s="54">
        <v>0</v>
      </c>
      <c r="Q16" s="13">
        <v>2504.6</v>
      </c>
      <c r="R16" s="14">
        <f>91.3+625.6</f>
        <v>716.9</v>
      </c>
      <c r="S16" s="93">
        <f t="shared" si="0"/>
        <v>3505.5</v>
      </c>
      <c r="T16" s="15"/>
      <c r="U16" s="15"/>
      <c r="V16" s="15"/>
      <c r="W16" s="15"/>
    </row>
    <row r="17" spans="2:23" s="16" customFormat="1" ht="15.75" customHeight="1">
      <c r="B17" s="94">
        <v>13</v>
      </c>
      <c r="C17" s="334" t="s">
        <v>806</v>
      </c>
      <c r="D17" s="10" t="s">
        <v>107</v>
      </c>
      <c r="E17" s="238" t="s">
        <v>483</v>
      </c>
      <c r="F17" s="10" t="s">
        <v>693</v>
      </c>
      <c r="G17" s="9" t="s">
        <v>700</v>
      </c>
      <c r="H17" s="9" t="str">
        <f t="shared" si="1"/>
        <v>REUNIÃO DO CONSELHO DA ADMINISTRAÇÃO</v>
      </c>
      <c r="I17" s="9" t="s">
        <v>265</v>
      </c>
      <c r="J17" s="17">
        <v>43739</v>
      </c>
      <c r="K17" s="10">
        <v>28</v>
      </c>
      <c r="L17" s="11">
        <v>28</v>
      </c>
      <c r="M17" s="57">
        <v>0</v>
      </c>
      <c r="N17" s="57">
        <v>0</v>
      </c>
      <c r="O17" s="57"/>
      <c r="P17" s="54">
        <v>0</v>
      </c>
      <c r="Q17" s="13">
        <f>547.59+1552.03</f>
        <v>2099.62</v>
      </c>
      <c r="R17" s="14">
        <v>0</v>
      </c>
      <c r="S17" s="93">
        <f t="shared" si="0"/>
        <v>2099.62</v>
      </c>
      <c r="T17" s="15"/>
      <c r="U17" s="15"/>
      <c r="V17" s="15"/>
      <c r="W17" s="15"/>
    </row>
    <row r="18" spans="2:23" s="16" customFormat="1" ht="12.75" customHeight="1">
      <c r="B18" s="94">
        <v>14</v>
      </c>
      <c r="C18" s="332" t="s">
        <v>807</v>
      </c>
      <c r="D18" s="10" t="s">
        <v>306</v>
      </c>
      <c r="E18" s="238" t="s">
        <v>531</v>
      </c>
      <c r="F18" s="10" t="s">
        <v>695</v>
      </c>
      <c r="G18" s="9" t="s">
        <v>861</v>
      </c>
      <c r="H18" s="9" t="str">
        <f t="shared" si="1"/>
        <v>PARTICIPAÇÃO NO 51º FONAITEC.</v>
      </c>
      <c r="I18" s="9" t="s">
        <v>358</v>
      </c>
      <c r="J18" s="17">
        <v>43739</v>
      </c>
      <c r="K18" s="10">
        <v>22</v>
      </c>
      <c r="L18" s="11">
        <v>25</v>
      </c>
      <c r="M18" s="57">
        <v>97</v>
      </c>
      <c r="N18" s="57">
        <v>369.36</v>
      </c>
      <c r="O18" s="57"/>
      <c r="P18" s="54"/>
      <c r="Q18" s="13">
        <f>629.03+602.85</f>
        <v>1231.8800000000001</v>
      </c>
      <c r="R18" s="14">
        <v>882</v>
      </c>
      <c r="S18" s="93">
        <f t="shared" si="0"/>
        <v>2580.2400000000002</v>
      </c>
      <c r="T18" s="15"/>
      <c r="U18" s="15"/>
      <c r="V18" s="15"/>
      <c r="W18" s="15"/>
    </row>
    <row r="19" spans="2:23" s="16" customFormat="1" ht="12.75" customHeight="1">
      <c r="B19" s="94">
        <v>15</v>
      </c>
      <c r="C19" s="332" t="s">
        <v>808</v>
      </c>
      <c r="D19" s="10" t="s">
        <v>97</v>
      </c>
      <c r="E19" s="238" t="s">
        <v>500</v>
      </c>
      <c r="F19" s="10" t="s">
        <v>650</v>
      </c>
      <c r="G19" s="164" t="s">
        <v>862</v>
      </c>
      <c r="H19" s="9" t="str">
        <f t="shared" si="1"/>
        <v>PARTICIPAR V CONGRESSO DA ASSOCIAÇÃO BRASILEIRA DE HOSPITAIS UNIVERSITÁRIOS E DE ENSINO - ABRAHUE.</v>
      </c>
      <c r="I19" s="10" t="s">
        <v>871</v>
      </c>
      <c r="J19" s="198">
        <v>43800</v>
      </c>
      <c r="K19" s="199">
        <v>2</v>
      </c>
      <c r="L19" s="200">
        <v>4</v>
      </c>
      <c r="M19" s="57">
        <v>121.66</v>
      </c>
      <c r="N19" s="57">
        <v>82.5</v>
      </c>
      <c r="O19" s="57"/>
      <c r="P19" s="54"/>
      <c r="Q19" s="13">
        <v>1568.06</v>
      </c>
      <c r="R19" s="313">
        <v>743.4</v>
      </c>
      <c r="S19" s="93">
        <f t="shared" si="0"/>
        <v>2515.62</v>
      </c>
      <c r="T19" s="15"/>
      <c r="U19" s="15"/>
      <c r="V19" s="15"/>
      <c r="W19" s="15"/>
    </row>
    <row r="20" spans="2:23" s="16" customFormat="1" ht="12.75" customHeight="1">
      <c r="B20" s="94">
        <v>16</v>
      </c>
      <c r="C20" s="334" t="s">
        <v>809</v>
      </c>
      <c r="D20" s="10" t="s">
        <v>451</v>
      </c>
      <c r="E20" s="238" t="s">
        <v>567</v>
      </c>
      <c r="F20" s="10" t="s">
        <v>693</v>
      </c>
      <c r="G20" s="9" t="s">
        <v>700</v>
      </c>
      <c r="H20" s="9" t="str">
        <f t="shared" si="1"/>
        <v>REUNIÃO DO CONSELHO DA ADMINISTRAÇÃO</v>
      </c>
      <c r="I20" s="9" t="s">
        <v>56</v>
      </c>
      <c r="J20" s="17">
        <v>43739</v>
      </c>
      <c r="K20" s="10">
        <v>28</v>
      </c>
      <c r="L20" s="11">
        <v>28</v>
      </c>
      <c r="M20" s="57">
        <v>0</v>
      </c>
      <c r="N20" s="57">
        <v>0</v>
      </c>
      <c r="O20" s="57"/>
      <c r="P20" s="54">
        <v>0</v>
      </c>
      <c r="Q20" s="13">
        <f>1843.57+1947.03</f>
        <v>3790.6</v>
      </c>
      <c r="R20" s="14">
        <v>0</v>
      </c>
      <c r="S20" s="93">
        <f t="shared" si="0"/>
        <v>3790.6</v>
      </c>
      <c r="T20" s="15"/>
      <c r="U20" s="15"/>
      <c r="V20" s="15"/>
      <c r="W20" s="15"/>
    </row>
    <row r="21" spans="2:23" s="16" customFormat="1" ht="12.75" customHeight="1">
      <c r="B21" s="94">
        <v>17</v>
      </c>
      <c r="C21" s="332" t="s">
        <v>810</v>
      </c>
      <c r="D21" s="10" t="s">
        <v>824</v>
      </c>
      <c r="E21" s="238" t="s">
        <v>835</v>
      </c>
      <c r="F21" s="10" t="s">
        <v>847</v>
      </c>
      <c r="G21" s="9" t="s">
        <v>863</v>
      </c>
      <c r="H21" s="9" t="str">
        <f t="shared" si="1"/>
        <v>REUNIÃO NA SENAD PARA TRATAR DA REVISÃO DO PROJETO DOS DROGÔMETROS E ATUALIZAÇÃO DO PROJETO ATUAL</v>
      </c>
      <c r="I21" s="9" t="s">
        <v>56</v>
      </c>
      <c r="J21" s="17">
        <v>43740</v>
      </c>
      <c r="K21" s="10">
        <v>21</v>
      </c>
      <c r="L21" s="11">
        <v>22</v>
      </c>
      <c r="M21" s="57">
        <v>0</v>
      </c>
      <c r="N21" s="57">
        <v>0</v>
      </c>
      <c r="O21" s="57"/>
      <c r="P21" s="54">
        <v>0</v>
      </c>
      <c r="Q21" s="13">
        <f>912.03+910.57</f>
        <v>1822.6</v>
      </c>
      <c r="R21" s="14">
        <f>312.8+13.2</f>
        <v>326</v>
      </c>
      <c r="S21" s="93">
        <f t="shared" si="0"/>
        <v>2148.6</v>
      </c>
      <c r="T21" s="15"/>
      <c r="U21" s="15"/>
      <c r="V21" s="15"/>
      <c r="W21" s="15"/>
    </row>
    <row r="22" spans="2:23" s="16" customFormat="1" ht="25.5" customHeight="1">
      <c r="B22" s="94">
        <v>18</v>
      </c>
      <c r="C22" s="332" t="s">
        <v>811</v>
      </c>
      <c r="D22" s="10" t="s">
        <v>826</v>
      </c>
      <c r="E22" s="238" t="s">
        <v>837</v>
      </c>
      <c r="F22" s="10" t="s">
        <v>848</v>
      </c>
      <c r="G22" s="9" t="s">
        <v>864</v>
      </c>
      <c r="H22" s="9" t="str">
        <f t="shared" si="1"/>
        <v>PARTICIPAR NO SEMINÁRIO NACIONAL DE OBRAS PÚBLICAS E MANUTENÇÃO PREDIAL</v>
      </c>
      <c r="I22" s="9" t="s">
        <v>65</v>
      </c>
      <c r="J22" s="198">
        <v>43770</v>
      </c>
      <c r="K22" s="199">
        <v>3</v>
      </c>
      <c r="L22" s="200">
        <v>6</v>
      </c>
      <c r="M22" s="57">
        <v>0</v>
      </c>
      <c r="N22" s="57">
        <v>121.09</v>
      </c>
      <c r="O22" s="57"/>
      <c r="P22" s="54"/>
      <c r="Q22" s="13">
        <v>1692.6</v>
      </c>
      <c r="R22" s="14">
        <f>1031.55+19.8</f>
        <v>1051.3499999999999</v>
      </c>
      <c r="S22" s="93">
        <f t="shared" si="0"/>
        <v>2865.04</v>
      </c>
      <c r="T22" s="15"/>
      <c r="U22" s="15"/>
      <c r="V22" s="15"/>
      <c r="W22" s="15"/>
    </row>
    <row r="23" spans="2:23" s="16" customFormat="1" ht="12.75" customHeight="1">
      <c r="B23" s="94">
        <v>19</v>
      </c>
      <c r="C23" s="332" t="s">
        <v>812</v>
      </c>
      <c r="D23" s="10" t="s">
        <v>827</v>
      </c>
      <c r="E23" s="238" t="s">
        <v>838</v>
      </c>
      <c r="F23" s="164" t="s">
        <v>849</v>
      </c>
      <c r="G23" s="164" t="s">
        <v>865</v>
      </c>
      <c r="H23" s="9" t="str">
        <f t="shared" si="1"/>
        <v>PARTICIPAR DA CAPACITAÇÃO DA ANAHP - SAÚDE BASEADA NA ENTREGA DE VALOR: O PAPEL DO HOSPITAL COMO INTEGRADOR DO SISTEMA</v>
      </c>
      <c r="I23" s="9" t="s">
        <v>358</v>
      </c>
      <c r="J23" s="198">
        <v>43770</v>
      </c>
      <c r="K23" s="199">
        <v>26</v>
      </c>
      <c r="L23" s="200">
        <v>28</v>
      </c>
      <c r="M23" s="57">
        <v>0</v>
      </c>
      <c r="N23" s="57">
        <v>190</v>
      </c>
      <c r="O23" s="57"/>
      <c r="P23" s="54">
        <f>29+29</f>
        <v>58</v>
      </c>
      <c r="Q23" s="13">
        <f>353.94+261.85</f>
        <v>615.79</v>
      </c>
      <c r="R23" s="313">
        <f>1236.9+191.4</f>
        <v>1428.3000000000002</v>
      </c>
      <c r="S23" s="93">
        <f t="shared" si="0"/>
        <v>2292.09</v>
      </c>
      <c r="T23" s="15"/>
      <c r="U23" s="15"/>
      <c r="V23" s="15"/>
      <c r="W23" s="15"/>
    </row>
    <row r="24" spans="2:23" s="16" customFormat="1" ht="12.75" customHeight="1">
      <c r="B24" s="94">
        <v>20</v>
      </c>
      <c r="C24" s="332" t="s">
        <v>813</v>
      </c>
      <c r="D24" s="168" t="s">
        <v>335</v>
      </c>
      <c r="E24" s="238" t="s">
        <v>538</v>
      </c>
      <c r="F24" s="164" t="s">
        <v>336</v>
      </c>
      <c r="G24" s="9" t="s">
        <v>866</v>
      </c>
      <c r="H24" s="9" t="str">
        <f t="shared" si="1"/>
        <v>MINISTRAR TREINAMENTO PROJETO AGHUSE.</v>
      </c>
      <c r="I24" s="9" t="s">
        <v>103</v>
      </c>
      <c r="J24" s="198">
        <v>43770</v>
      </c>
      <c r="K24" s="199">
        <v>11</v>
      </c>
      <c r="L24" s="200">
        <v>14</v>
      </c>
      <c r="M24" s="57">
        <v>182.12</v>
      </c>
      <c r="N24" s="57">
        <v>45.1</v>
      </c>
      <c r="O24" s="57"/>
      <c r="P24" s="54">
        <v>0</v>
      </c>
      <c r="Q24" s="13">
        <f>1401.13+1526.85</f>
        <v>2927.98</v>
      </c>
      <c r="R24" s="14">
        <f>61+587.52</f>
        <v>648.52</v>
      </c>
      <c r="S24" s="93">
        <f t="shared" si="0"/>
        <v>3803.72</v>
      </c>
      <c r="T24" s="15"/>
      <c r="U24" s="15"/>
      <c r="V24" s="15"/>
      <c r="W24" s="15"/>
    </row>
    <row r="25" spans="2:23" s="16" customFormat="1" ht="12.75" customHeight="1">
      <c r="B25" s="94">
        <v>21</v>
      </c>
      <c r="C25" s="332" t="s">
        <v>814</v>
      </c>
      <c r="D25" s="10" t="s">
        <v>204</v>
      </c>
      <c r="E25" s="238" t="s">
        <v>494</v>
      </c>
      <c r="F25" s="164" t="s">
        <v>205</v>
      </c>
      <c r="G25" s="164" t="s">
        <v>867</v>
      </c>
      <c r="H25" s="9" t="str">
        <f t="shared" si="1"/>
        <v>AUDIÊNCIA AGENDA ANO TCU</v>
      </c>
      <c r="I25" s="9" t="s">
        <v>65</v>
      </c>
      <c r="J25" s="17">
        <v>43739</v>
      </c>
      <c r="K25" s="10">
        <v>30</v>
      </c>
      <c r="L25" s="11">
        <v>31</v>
      </c>
      <c r="M25" s="57">
        <v>0</v>
      </c>
      <c r="N25" s="57">
        <v>89.5</v>
      </c>
      <c r="O25" s="57"/>
      <c r="P25" s="54">
        <v>45</v>
      </c>
      <c r="Q25" s="13">
        <f>1179.03+1669.57</f>
        <v>2848.6</v>
      </c>
      <c r="R25" s="216">
        <v>0</v>
      </c>
      <c r="S25" s="93">
        <f t="shared" si="0"/>
        <v>2983.1</v>
      </c>
      <c r="T25" s="15"/>
      <c r="U25" s="15"/>
      <c r="V25" s="15"/>
      <c r="W25" s="15"/>
    </row>
    <row r="26" spans="2:23" s="16" customFormat="1" ht="12.75" customHeight="1">
      <c r="B26" s="94">
        <v>22</v>
      </c>
      <c r="C26" s="332" t="s">
        <v>815</v>
      </c>
      <c r="D26" s="10" t="s">
        <v>206</v>
      </c>
      <c r="E26" s="238" t="s">
        <v>510</v>
      </c>
      <c r="F26" s="164" t="s">
        <v>207</v>
      </c>
      <c r="G26" s="164" t="s">
        <v>867</v>
      </c>
      <c r="H26" s="9" t="str">
        <f t="shared" si="1"/>
        <v>AUDIÊNCIA AGENDA ANO TCU</v>
      </c>
      <c r="I26" s="9" t="s">
        <v>65</v>
      </c>
      <c r="J26" s="17">
        <v>43739</v>
      </c>
      <c r="K26" s="10">
        <v>30</v>
      </c>
      <c r="L26" s="11">
        <v>31</v>
      </c>
      <c r="M26" s="57">
        <v>0</v>
      </c>
      <c r="N26" s="57">
        <v>177.91</v>
      </c>
      <c r="O26" s="57"/>
      <c r="P26" s="54">
        <v>29.4</v>
      </c>
      <c r="Q26" s="13">
        <f>1179.03+1669.57</f>
        <v>2848.6</v>
      </c>
      <c r="R26" s="216">
        <v>0</v>
      </c>
      <c r="S26" s="93">
        <f t="shared" si="0"/>
        <v>3055.91</v>
      </c>
      <c r="T26" s="15"/>
      <c r="U26" s="15"/>
      <c r="V26" s="15"/>
      <c r="W26" s="15"/>
    </row>
    <row r="27" spans="2:23" s="16" customFormat="1" ht="12.75" customHeight="1">
      <c r="B27" s="94">
        <v>23</v>
      </c>
      <c r="C27" s="332" t="s">
        <v>816</v>
      </c>
      <c r="D27" s="10" t="s">
        <v>102</v>
      </c>
      <c r="E27" s="238" t="s">
        <v>839</v>
      </c>
      <c r="F27" s="164" t="s">
        <v>465</v>
      </c>
      <c r="G27" s="164" t="s">
        <v>868</v>
      </c>
      <c r="H27" s="9" t="str">
        <f t="shared" si="1"/>
        <v>PARTICIPAR DA SEGUNDA REUNIÃO NO TCU, JUNTAMENTE COM OS ADVOGADOS DO HCPA, PARA DEFESA DO EDITAL N.º 0395/2019.</v>
      </c>
      <c r="I27" s="9" t="s">
        <v>65</v>
      </c>
      <c r="J27" s="17">
        <v>43739</v>
      </c>
      <c r="K27" s="10">
        <v>30</v>
      </c>
      <c r="L27" s="11">
        <v>31</v>
      </c>
      <c r="M27" s="57">
        <v>198.44</v>
      </c>
      <c r="N27" s="57">
        <v>148.15</v>
      </c>
      <c r="O27" s="57"/>
      <c r="P27" s="54"/>
      <c r="Q27" s="13">
        <f>1179.03+1669.57</f>
        <v>2848.6</v>
      </c>
      <c r="R27" s="216">
        <v>0</v>
      </c>
      <c r="S27" s="93">
        <f t="shared" si="0"/>
        <v>3195.19</v>
      </c>
      <c r="T27" s="15"/>
      <c r="U27" s="15"/>
      <c r="V27" s="15"/>
      <c r="W27" s="15"/>
    </row>
    <row r="28" spans="2:23" s="16" customFormat="1" ht="12.75" customHeight="1">
      <c r="B28" s="94">
        <v>24</v>
      </c>
      <c r="C28" s="332" t="s">
        <v>817</v>
      </c>
      <c r="D28" s="10" t="s">
        <v>828</v>
      </c>
      <c r="E28" s="238" t="s">
        <v>840</v>
      </c>
      <c r="F28" s="164" t="s">
        <v>850</v>
      </c>
      <c r="G28" s="164" t="s">
        <v>868</v>
      </c>
      <c r="H28" s="9" t="str">
        <f t="shared" si="1"/>
        <v>PARTICIPAR DA SEGUNDA REUNIÃO NO TCU, JUNTAMENTE COM OS ADVOGADOS DO HCPA, PARA DEFESA DO EDITAL N.º 0395/2019.</v>
      </c>
      <c r="I28" s="9" t="s">
        <v>65</v>
      </c>
      <c r="J28" s="17">
        <v>43739</v>
      </c>
      <c r="K28" s="10">
        <v>30</v>
      </c>
      <c r="L28" s="11">
        <v>31</v>
      </c>
      <c r="M28" s="57">
        <v>0</v>
      </c>
      <c r="N28" s="57">
        <v>138.93</v>
      </c>
      <c r="O28" s="57"/>
      <c r="P28" s="54"/>
      <c r="Q28" s="13">
        <f>1179.03+1669.57</f>
        <v>2848.6</v>
      </c>
      <c r="R28" s="216">
        <v>0</v>
      </c>
      <c r="S28" s="93">
        <f t="shared" si="0"/>
        <v>2987.5299999999997</v>
      </c>
      <c r="T28" s="15"/>
      <c r="U28" s="15"/>
      <c r="V28" s="15"/>
      <c r="W28" s="15"/>
    </row>
    <row r="29" spans="2:23" s="16" customFormat="1" ht="24" customHeight="1">
      <c r="B29" s="94">
        <v>25</v>
      </c>
      <c r="C29" s="332" t="s">
        <v>818</v>
      </c>
      <c r="D29" s="10" t="s">
        <v>829</v>
      </c>
      <c r="E29" s="335" t="s">
        <v>841</v>
      </c>
      <c r="F29" s="9" t="s">
        <v>692</v>
      </c>
      <c r="G29" s="202" t="s">
        <v>869</v>
      </c>
      <c r="H29" s="9" t="str">
        <f t="shared" si="1"/>
        <v>MINISTRAR PALESTRA SOBRE  PROTEÇÃO DE DADOS PESSOAIS NA UNIÃO EUROPEIA E A INTELIGÊNCIA ARTIFICIAL NA ÁREA DA SAÚDE .</v>
      </c>
      <c r="I29" s="9" t="s">
        <v>872</v>
      </c>
      <c r="J29" s="198">
        <v>43770</v>
      </c>
      <c r="K29" s="199">
        <v>5</v>
      </c>
      <c r="L29" s="200">
        <v>9</v>
      </c>
      <c r="M29" s="57">
        <v>0</v>
      </c>
      <c r="N29" s="57">
        <v>0</v>
      </c>
      <c r="O29" s="57"/>
      <c r="P29" s="54">
        <v>0</v>
      </c>
      <c r="Q29" s="13">
        <v>0</v>
      </c>
      <c r="R29" s="14">
        <v>1596.08</v>
      </c>
      <c r="S29" s="93">
        <f t="shared" si="0"/>
        <v>1596.08</v>
      </c>
      <c r="T29" s="15"/>
      <c r="U29" s="15"/>
      <c r="V29" s="15"/>
      <c r="W29" s="15"/>
    </row>
    <row r="30" spans="2:23" s="16" customFormat="1" ht="12.75" customHeight="1" thickBot="1">
      <c r="B30" s="95"/>
      <c r="C30" s="143"/>
      <c r="D30" s="97"/>
      <c r="E30" s="97"/>
      <c r="F30" s="97"/>
      <c r="G30" s="97"/>
      <c r="H30" s="97" t="str">
        <f t="shared" si="1"/>
        <v/>
      </c>
      <c r="I30" s="98"/>
      <c r="J30" s="99"/>
      <c r="K30" s="100"/>
      <c r="L30" s="101"/>
      <c r="M30" s="125"/>
      <c r="N30" s="125"/>
      <c r="O30" s="125"/>
      <c r="P30" s="116"/>
      <c r="Q30" s="103"/>
      <c r="R30" s="104"/>
      <c r="S30" s="105">
        <f t="shared" si="0"/>
        <v>0</v>
      </c>
      <c r="T30" s="15"/>
      <c r="U30" s="15"/>
      <c r="V30" s="15"/>
      <c r="W30" s="15"/>
    </row>
    <row r="31" spans="2:23" s="30" customFormat="1" ht="24.75" customHeight="1">
      <c r="C31" s="31"/>
      <c r="D31" s="31"/>
      <c r="E31" s="31"/>
      <c r="F31" s="31"/>
      <c r="G31" s="31"/>
      <c r="H31" s="31"/>
      <c r="I31" s="33"/>
      <c r="J31" s="31"/>
      <c r="K31" s="19"/>
      <c r="L31" s="32"/>
      <c r="M31" s="35">
        <f t="shared" ref="M31:R31" si="2">SUM(M5:M30)</f>
        <v>1556.25</v>
      </c>
      <c r="N31" s="35">
        <f t="shared" si="2"/>
        <v>4551.8600000000006</v>
      </c>
      <c r="O31" s="35">
        <f t="shared" si="2"/>
        <v>0</v>
      </c>
      <c r="P31" s="120">
        <f t="shared" si="2"/>
        <v>132.4</v>
      </c>
      <c r="Q31" s="59">
        <f t="shared" si="2"/>
        <v>54443.329999999994</v>
      </c>
      <c r="R31" s="60">
        <f t="shared" si="2"/>
        <v>29980.950000000004</v>
      </c>
      <c r="S31" s="58">
        <f>SUM(S5:S30)+P32</f>
        <v>90666.114000000001</v>
      </c>
    </row>
    <row r="32" spans="2:23" s="39" customFormat="1" ht="24.75" customHeight="1" thickBot="1">
      <c r="C32" s="40"/>
      <c r="D32" s="358"/>
      <c r="E32" s="358"/>
      <c r="F32" s="358"/>
      <c r="G32" s="358"/>
      <c r="H32" s="358"/>
      <c r="I32" s="358"/>
      <c r="J32" s="358"/>
      <c r="K32" s="358"/>
      <c r="L32" s="41"/>
      <c r="M32" s="42"/>
      <c r="N32" s="42"/>
      <c r="O32" s="87" t="s">
        <v>31</v>
      </c>
      <c r="P32" s="26">
        <f>P31*1%</f>
        <v>1.3240000000000001</v>
      </c>
      <c r="S32" s="43"/>
    </row>
    <row r="33" spans="3:19" s="39" customFormat="1" ht="24.75" customHeight="1" thickBot="1">
      <c r="C33" s="40"/>
      <c r="D33" s="140" t="s">
        <v>41</v>
      </c>
      <c r="E33" s="182"/>
      <c r="F33" s="182"/>
      <c r="G33" s="182"/>
      <c r="H33" s="182"/>
      <c r="I33" s="44"/>
      <c r="J33" s="40"/>
      <c r="K33" s="40"/>
      <c r="L33" s="41"/>
      <c r="M33" s="42"/>
      <c r="N33" s="42"/>
      <c r="O33" s="42"/>
      <c r="P33" s="89">
        <f>P31+P32</f>
        <v>133.72400000000002</v>
      </c>
      <c r="Q33" s="45"/>
      <c r="R33" s="43"/>
      <c r="S33" s="46" t="s">
        <v>8</v>
      </c>
    </row>
    <row r="34" spans="3:19" s="39" customFormat="1" ht="24.75" customHeight="1">
      <c r="C34" s="40"/>
      <c r="D34" s="359"/>
      <c r="E34" s="359"/>
      <c r="F34" s="359"/>
      <c r="G34" s="359"/>
      <c r="H34" s="359"/>
      <c r="I34" s="359"/>
      <c r="J34" s="359"/>
      <c r="K34" s="359"/>
      <c r="L34" s="41"/>
      <c r="M34" s="42"/>
      <c r="N34" s="42"/>
      <c r="O34" s="42"/>
      <c r="P34" s="26"/>
      <c r="Q34" s="5" t="s">
        <v>7</v>
      </c>
      <c r="R34" s="138">
        <f>M31+N31+O31+P33+Q31+R31</f>
        <v>90666.114000000001</v>
      </c>
      <c r="S34" s="47">
        <f>S31-R34</f>
        <v>0</v>
      </c>
    </row>
    <row r="35" spans="3:19" ht="24.75" customHeight="1">
      <c r="C35" s="48"/>
      <c r="D35" s="49"/>
      <c r="E35" s="49"/>
      <c r="F35" s="49"/>
      <c r="G35" s="49"/>
      <c r="H35" s="49"/>
      <c r="I35" s="50"/>
      <c r="J35" s="51"/>
      <c r="K35" s="51"/>
      <c r="L35" s="51"/>
      <c r="O35" s="87" t="s">
        <v>31</v>
      </c>
      <c r="P35" s="26" t="s">
        <v>32</v>
      </c>
    </row>
    <row r="36" spans="3:19" ht="24.75" customHeight="1">
      <c r="C36" s="48"/>
      <c r="D36" s="49"/>
      <c r="E36" s="49"/>
      <c r="F36" s="49"/>
      <c r="G36" s="49"/>
      <c r="H36" s="49"/>
      <c r="I36" s="50"/>
      <c r="J36" s="51"/>
      <c r="K36" s="51"/>
      <c r="L36" s="51"/>
      <c r="P36" s="26"/>
    </row>
    <row r="37" spans="3:19" ht="24.75" customHeight="1">
      <c r="C37" s="48"/>
      <c r="D37" s="49"/>
      <c r="E37" s="49"/>
      <c r="F37" s="49"/>
      <c r="G37" s="49"/>
      <c r="H37" s="49"/>
      <c r="I37" s="50"/>
      <c r="J37" s="51"/>
      <c r="K37" s="51"/>
      <c r="L37" s="51"/>
      <c r="P37" s="26"/>
    </row>
    <row r="38" spans="3:19" ht="24.75" customHeight="1">
      <c r="C38" s="48"/>
      <c r="D38" s="49"/>
      <c r="E38" s="49"/>
      <c r="F38" s="49"/>
      <c r="G38" s="49"/>
      <c r="H38" s="49"/>
      <c r="I38" s="50"/>
      <c r="J38" s="51"/>
      <c r="K38" s="51"/>
      <c r="L38" s="51"/>
      <c r="P38" s="26"/>
    </row>
    <row r="39" spans="3:19" ht="24.75" customHeight="1">
      <c r="C39" s="48"/>
      <c r="D39" s="49"/>
      <c r="E39" s="49"/>
      <c r="F39" s="49"/>
      <c r="G39" s="49"/>
      <c r="H39" s="49"/>
      <c r="I39" s="50"/>
      <c r="J39" s="51"/>
      <c r="K39" s="51"/>
      <c r="L39" s="51"/>
      <c r="P39" s="26"/>
    </row>
    <row r="40" spans="3:19" ht="24.75" customHeight="1">
      <c r="C40" s="48"/>
      <c r="D40" s="49"/>
      <c r="E40" s="49"/>
      <c r="F40" s="49"/>
      <c r="G40" s="49"/>
      <c r="H40" s="49"/>
      <c r="I40" s="50"/>
      <c r="J40" s="51"/>
      <c r="K40" s="51"/>
      <c r="L40" s="51"/>
      <c r="P40" s="26"/>
    </row>
    <row r="41" spans="3:19" ht="24.75" customHeight="1">
      <c r="C41" s="48"/>
      <c r="D41" s="49"/>
      <c r="E41" s="49"/>
      <c r="F41" s="49"/>
      <c r="G41" s="49"/>
      <c r="H41" s="49"/>
      <c r="I41" s="50"/>
      <c r="J41" s="51"/>
      <c r="K41" s="51"/>
      <c r="L41" s="51"/>
      <c r="P41" s="26"/>
    </row>
    <row r="42" spans="3:19" ht="24.75" customHeight="1">
      <c r="C42" s="48"/>
      <c r="D42" s="49"/>
      <c r="E42" s="49"/>
      <c r="F42" s="49"/>
      <c r="G42" s="49"/>
      <c r="H42" s="49"/>
      <c r="I42" s="50"/>
      <c r="J42" s="51"/>
      <c r="K42" s="51"/>
      <c r="L42" s="51"/>
      <c r="P42" s="26"/>
    </row>
    <row r="43" spans="3:19" ht="24.75" customHeight="1">
      <c r="C43" s="48"/>
      <c r="I43" s="50"/>
      <c r="J43" s="51"/>
      <c r="K43" s="51"/>
      <c r="L43" s="51"/>
      <c r="P43" s="26"/>
    </row>
    <row r="44" spans="3:19" ht="24.75" customHeight="1">
      <c r="C44" s="48"/>
      <c r="D44" s="49"/>
      <c r="E44" s="49"/>
      <c r="F44" s="49"/>
      <c r="G44" s="49"/>
      <c r="H44" s="49"/>
      <c r="I44" s="50"/>
      <c r="J44" s="51"/>
      <c r="K44" s="51"/>
      <c r="L44" s="51"/>
      <c r="P44" s="26"/>
    </row>
    <row r="45" spans="3:19" ht="24.75" customHeight="1">
      <c r="C45" s="48"/>
      <c r="D45" s="49"/>
      <c r="E45" s="49"/>
      <c r="F45" s="49"/>
      <c r="G45" s="49"/>
      <c r="H45" s="49"/>
      <c r="I45" s="50"/>
      <c r="J45" s="51"/>
      <c r="K45" s="51"/>
      <c r="L45" s="51"/>
      <c r="P45" s="52"/>
    </row>
    <row r="46" spans="3:19" ht="24.75" customHeight="1">
      <c r="C46" s="48"/>
      <c r="D46" s="49"/>
      <c r="E46" s="49"/>
      <c r="F46" s="49"/>
      <c r="G46" s="49"/>
      <c r="H46" s="49"/>
      <c r="I46" s="50"/>
      <c r="J46" s="51"/>
      <c r="K46" s="51"/>
      <c r="L46" s="51"/>
      <c r="P46" s="39"/>
      <c r="Q46"/>
      <c r="R46"/>
      <c r="S46"/>
    </row>
    <row r="47" spans="3:19" ht="24.75" customHeight="1">
      <c r="C47" s="48"/>
      <c r="D47" s="49"/>
      <c r="E47" s="49"/>
      <c r="F47" s="49"/>
      <c r="G47" s="49"/>
      <c r="H47" s="49"/>
      <c r="I47" s="50"/>
      <c r="J47" s="51"/>
      <c r="K47" s="51"/>
      <c r="L47" s="51"/>
      <c r="P47" s="39"/>
      <c r="Q47"/>
      <c r="R47"/>
      <c r="S47"/>
    </row>
    <row r="48" spans="3:19" ht="24.75" customHeight="1">
      <c r="C48" s="48"/>
      <c r="D48" s="49"/>
      <c r="E48" s="49"/>
      <c r="F48" s="49"/>
      <c r="G48" s="49"/>
      <c r="H48" s="49"/>
      <c r="I48" s="50"/>
      <c r="J48" s="51"/>
      <c r="K48" s="51"/>
      <c r="L48" s="51"/>
      <c r="P48" s="39"/>
      <c r="Q48"/>
      <c r="R48"/>
      <c r="S48"/>
    </row>
    <row r="49" spans="3:19" ht="24.75" customHeight="1">
      <c r="C49" s="48"/>
      <c r="D49" s="49"/>
      <c r="E49" s="49"/>
      <c r="F49" s="49"/>
      <c r="G49" s="49"/>
      <c r="H49" s="49"/>
      <c r="I49" s="50"/>
      <c r="J49" s="51"/>
      <c r="K49" s="51"/>
      <c r="L49" s="51"/>
      <c r="Q49"/>
      <c r="R49"/>
      <c r="S49"/>
    </row>
    <row r="50" spans="3:19" ht="24.75" customHeight="1">
      <c r="C50" s="48"/>
      <c r="D50" s="49"/>
      <c r="E50" s="49"/>
      <c r="F50" s="49"/>
      <c r="G50" s="49"/>
      <c r="H50" s="49"/>
      <c r="I50" s="50"/>
      <c r="J50" s="51"/>
      <c r="K50" s="51"/>
      <c r="L50" s="51"/>
      <c r="Q50"/>
      <c r="R50"/>
      <c r="S50"/>
    </row>
    <row r="51" spans="3:19" ht="24.75" customHeight="1">
      <c r="C51" s="48"/>
      <c r="D51" s="49"/>
      <c r="E51" s="49"/>
      <c r="F51" s="49"/>
      <c r="G51" s="49"/>
      <c r="H51" s="49"/>
      <c r="I51" s="50"/>
      <c r="J51" s="51"/>
      <c r="K51" s="51"/>
      <c r="L51" s="51"/>
      <c r="Q51"/>
      <c r="R51"/>
      <c r="S51"/>
    </row>
    <row r="52" spans="3:19" ht="24.75" customHeight="1">
      <c r="C52" s="48"/>
      <c r="D52" s="49"/>
      <c r="E52" s="49"/>
      <c r="F52" s="49"/>
      <c r="G52" s="49"/>
      <c r="H52" s="49"/>
      <c r="I52" s="50"/>
      <c r="J52" s="51"/>
      <c r="K52" s="51"/>
      <c r="L52" s="51"/>
      <c r="Q52"/>
      <c r="R52"/>
      <c r="S52"/>
    </row>
    <row r="53" spans="3:19" ht="24.75" customHeight="1">
      <c r="C53" s="48"/>
      <c r="D53" s="49"/>
      <c r="E53" s="49"/>
      <c r="F53" s="49"/>
      <c r="G53" s="49"/>
      <c r="H53" s="49"/>
      <c r="I53" s="50"/>
      <c r="J53" s="51"/>
      <c r="K53" s="51"/>
      <c r="L53" s="51"/>
      <c r="Q53"/>
      <c r="R53"/>
      <c r="S53"/>
    </row>
    <row r="54" spans="3:19" ht="24.75" customHeight="1">
      <c r="C54" s="48"/>
      <c r="D54" s="49"/>
      <c r="E54" s="49"/>
      <c r="F54" s="49"/>
      <c r="G54" s="49"/>
      <c r="H54" s="49"/>
      <c r="I54" s="50"/>
      <c r="J54" s="51"/>
      <c r="K54" s="51"/>
      <c r="L54" s="51"/>
      <c r="Q54"/>
      <c r="R54"/>
      <c r="S54"/>
    </row>
    <row r="55" spans="3:19" ht="24.75" customHeight="1">
      <c r="C55" s="48"/>
      <c r="D55" s="49"/>
      <c r="E55" s="49"/>
      <c r="F55" s="49"/>
      <c r="G55" s="49"/>
      <c r="H55" s="49"/>
      <c r="I55" s="50"/>
      <c r="J55" s="51"/>
      <c r="K55" s="51"/>
      <c r="L55" s="51"/>
      <c r="Q55"/>
      <c r="R55"/>
      <c r="S55"/>
    </row>
    <row r="56" spans="3:19" ht="24.75" customHeight="1">
      <c r="C56" s="48"/>
      <c r="D56" s="49"/>
      <c r="E56" s="49"/>
      <c r="F56" s="49"/>
      <c r="G56" s="49"/>
      <c r="H56" s="49"/>
      <c r="I56" s="50"/>
      <c r="J56" s="51"/>
      <c r="K56" s="51"/>
      <c r="L56" s="51"/>
      <c r="Q56"/>
      <c r="R56"/>
      <c r="S56"/>
    </row>
    <row r="57" spans="3:19" ht="24.75" customHeight="1">
      <c r="C57" s="48"/>
      <c r="D57" s="49"/>
      <c r="E57" s="49"/>
      <c r="F57" s="49"/>
      <c r="G57" s="49"/>
      <c r="H57" s="49"/>
      <c r="I57" s="50"/>
      <c r="J57" s="51"/>
      <c r="K57" s="51"/>
      <c r="L57" s="51"/>
      <c r="Q57"/>
      <c r="R57"/>
      <c r="S57"/>
    </row>
    <row r="58" spans="3:19" ht="24.75" customHeight="1">
      <c r="C58" s="48"/>
      <c r="D58" s="49"/>
      <c r="E58" s="49"/>
      <c r="F58" s="49"/>
      <c r="G58" s="49"/>
      <c r="H58" s="49"/>
      <c r="I58" s="50"/>
      <c r="J58" s="51"/>
      <c r="K58" s="51"/>
      <c r="L58" s="51"/>
      <c r="Q58"/>
      <c r="R58"/>
      <c r="S58"/>
    </row>
    <row r="59" spans="3:19" ht="24.75" customHeight="1">
      <c r="C59" s="48"/>
      <c r="D59" s="49"/>
      <c r="E59" s="49"/>
      <c r="F59" s="49"/>
      <c r="G59" s="49"/>
      <c r="H59" s="49"/>
      <c r="I59" s="50"/>
      <c r="J59" s="51"/>
      <c r="K59" s="51"/>
      <c r="L59" s="51"/>
      <c r="Q59"/>
      <c r="R59"/>
      <c r="S59"/>
    </row>
    <row r="60" spans="3:19" ht="24.75" customHeight="1">
      <c r="C60" s="48"/>
      <c r="D60" s="49"/>
      <c r="E60" s="49"/>
      <c r="F60" s="49"/>
      <c r="G60" s="49"/>
      <c r="H60" s="49"/>
      <c r="I60" s="50"/>
      <c r="J60" s="51"/>
      <c r="K60" s="51"/>
      <c r="L60" s="51"/>
      <c r="Q60"/>
      <c r="R60"/>
      <c r="S60"/>
    </row>
    <row r="61" spans="3:19" ht="24.75" customHeight="1">
      <c r="C61" s="48"/>
      <c r="D61" s="49"/>
      <c r="E61" s="49"/>
      <c r="F61" s="49"/>
      <c r="G61" s="49"/>
      <c r="H61" s="49"/>
      <c r="I61" s="50"/>
      <c r="J61" s="51"/>
      <c r="K61" s="51"/>
      <c r="L61" s="51"/>
      <c r="Q61"/>
      <c r="R61"/>
      <c r="S61"/>
    </row>
    <row r="62" spans="3:19" ht="24.75" customHeight="1">
      <c r="C62" s="48"/>
      <c r="D62" s="49"/>
      <c r="E62" s="49"/>
      <c r="F62" s="49"/>
      <c r="G62" s="49"/>
      <c r="H62" s="49"/>
      <c r="I62" s="50"/>
      <c r="J62" s="51"/>
      <c r="K62" s="51"/>
      <c r="L62" s="51"/>
      <c r="M62"/>
      <c r="N62"/>
      <c r="O62"/>
      <c r="Q62"/>
      <c r="R62"/>
      <c r="S62"/>
    </row>
    <row r="63" spans="3:19" ht="24.75" customHeight="1">
      <c r="C63" s="48"/>
      <c r="D63" s="49"/>
      <c r="E63" s="49"/>
      <c r="F63" s="49"/>
      <c r="G63" s="49"/>
      <c r="H63" s="49"/>
      <c r="I63" s="50"/>
      <c r="J63" s="51"/>
      <c r="K63" s="51"/>
      <c r="L63" s="51"/>
      <c r="M63"/>
      <c r="N63"/>
      <c r="O63"/>
      <c r="Q63"/>
      <c r="R63"/>
      <c r="S63"/>
    </row>
    <row r="64" spans="3:19" ht="24.75" customHeight="1">
      <c r="C64" s="48"/>
      <c r="D64" s="49"/>
      <c r="E64" s="49"/>
      <c r="F64" s="49"/>
      <c r="G64" s="49"/>
      <c r="H64" s="49"/>
      <c r="I64" s="50"/>
      <c r="J64" s="51"/>
      <c r="K64" s="51"/>
      <c r="L64" s="51"/>
      <c r="M64"/>
      <c r="N64"/>
      <c r="O64"/>
      <c r="Q64"/>
      <c r="R64"/>
      <c r="S64"/>
    </row>
    <row r="65" spans="3:19" ht="24.75" customHeight="1">
      <c r="C65" s="48"/>
      <c r="D65" s="49"/>
      <c r="E65" s="49"/>
      <c r="F65" s="49"/>
      <c r="G65" s="49"/>
      <c r="H65" s="49"/>
      <c r="I65" s="50"/>
      <c r="J65" s="51"/>
      <c r="K65" s="51"/>
      <c r="L65" s="51"/>
      <c r="M65"/>
      <c r="N65"/>
      <c r="O65"/>
      <c r="Q65"/>
      <c r="R65"/>
      <c r="S65"/>
    </row>
    <row r="66" spans="3:19" ht="24.75" customHeight="1">
      <c r="C66" s="48"/>
      <c r="D66" s="49"/>
      <c r="E66" s="49"/>
      <c r="F66" s="49"/>
      <c r="G66" s="49"/>
      <c r="H66" s="49"/>
      <c r="I66" s="50"/>
      <c r="J66" s="51"/>
      <c r="K66" s="51"/>
      <c r="L66" s="51"/>
      <c r="M66"/>
      <c r="N66"/>
      <c r="O66"/>
      <c r="Q66"/>
      <c r="R66"/>
      <c r="S66"/>
    </row>
    <row r="67" spans="3:19" ht="24.75" customHeight="1">
      <c r="C67" s="48"/>
      <c r="D67" s="49"/>
      <c r="E67" s="49"/>
      <c r="F67" s="49"/>
      <c r="G67" s="49"/>
      <c r="H67" s="49"/>
      <c r="I67" s="50"/>
      <c r="J67" s="51"/>
      <c r="K67" s="51"/>
      <c r="L67" s="51"/>
      <c r="M67"/>
      <c r="N67"/>
      <c r="O67"/>
      <c r="Q67"/>
      <c r="R67"/>
      <c r="S67"/>
    </row>
    <row r="68" spans="3:19" ht="24.75" customHeight="1">
      <c r="C68" s="48"/>
      <c r="D68" s="49"/>
      <c r="E68" s="49"/>
      <c r="F68" s="49"/>
      <c r="G68" s="49"/>
      <c r="H68" s="49"/>
      <c r="I68" s="50"/>
      <c r="J68" s="51"/>
      <c r="K68" s="51"/>
      <c r="L68" s="51"/>
      <c r="M68"/>
      <c r="N68"/>
      <c r="O68"/>
      <c r="Q68"/>
      <c r="R68"/>
      <c r="S68"/>
    </row>
    <row r="69" spans="3:19" ht="24.75" customHeight="1">
      <c r="C69" s="48"/>
      <c r="D69" s="49"/>
      <c r="E69" s="49"/>
      <c r="F69" s="49"/>
      <c r="G69" s="49"/>
      <c r="H69" s="49"/>
      <c r="I69" s="50"/>
      <c r="J69" s="51"/>
      <c r="K69" s="51"/>
      <c r="L69" s="51"/>
      <c r="M69"/>
      <c r="N69"/>
      <c r="O69"/>
      <c r="Q69"/>
      <c r="R69"/>
      <c r="S69"/>
    </row>
    <row r="70" spans="3:19" ht="24.75" customHeight="1">
      <c r="C70" s="48"/>
      <c r="D70" s="49"/>
      <c r="E70" s="49"/>
      <c r="F70" s="49"/>
      <c r="G70" s="49"/>
      <c r="H70" s="49"/>
      <c r="I70" s="50"/>
      <c r="J70" s="51"/>
      <c r="K70" s="51"/>
      <c r="L70" s="51"/>
      <c r="M70"/>
      <c r="N70"/>
      <c r="O70"/>
      <c r="Q70"/>
      <c r="R70"/>
      <c r="S70"/>
    </row>
    <row r="71" spans="3:19" ht="24.75" customHeight="1">
      <c r="C71" s="48"/>
      <c r="D71" s="49"/>
      <c r="E71" s="49"/>
      <c r="F71" s="49"/>
      <c r="G71" s="49"/>
      <c r="H71" s="49"/>
      <c r="I71" s="50"/>
      <c r="J71" s="51"/>
      <c r="K71" s="51"/>
      <c r="L71" s="51"/>
      <c r="M71"/>
      <c r="N71"/>
      <c r="O71"/>
      <c r="Q71"/>
      <c r="R71"/>
      <c r="S71"/>
    </row>
    <row r="72" spans="3:19" ht="24.75" customHeight="1">
      <c r="C72" s="48"/>
      <c r="D72" s="49"/>
      <c r="E72" s="49"/>
      <c r="F72" s="49"/>
      <c r="G72" s="49"/>
      <c r="H72" s="49"/>
      <c r="I72" s="50"/>
      <c r="J72" s="51"/>
      <c r="K72" s="51"/>
      <c r="L72" s="51"/>
      <c r="M72"/>
      <c r="N72"/>
      <c r="O72"/>
      <c r="Q72"/>
      <c r="R72"/>
      <c r="S72"/>
    </row>
    <row r="73" spans="3:19" ht="24.75" customHeight="1">
      <c r="C73" s="48"/>
      <c r="D73" s="49"/>
      <c r="E73" s="49"/>
      <c r="F73" s="49"/>
      <c r="G73" s="49"/>
      <c r="H73" s="49"/>
      <c r="I73" s="50"/>
      <c r="J73" s="51"/>
      <c r="K73" s="51"/>
      <c r="L73" s="51"/>
      <c r="M73"/>
      <c r="N73"/>
      <c r="O73"/>
      <c r="Q73"/>
      <c r="R73"/>
      <c r="S73"/>
    </row>
    <row r="74" spans="3:19" ht="24.75" customHeight="1">
      <c r="C74" s="48"/>
      <c r="D74" s="49"/>
      <c r="E74" s="49"/>
      <c r="F74" s="49"/>
      <c r="G74" s="49"/>
      <c r="H74" s="49"/>
      <c r="I74" s="50"/>
      <c r="J74" s="51"/>
      <c r="K74" s="51"/>
      <c r="L74" s="51"/>
      <c r="M74"/>
      <c r="N74"/>
      <c r="O74"/>
      <c r="Q74"/>
      <c r="R74"/>
      <c r="S74"/>
    </row>
    <row r="75" spans="3:19" ht="24.75" customHeight="1">
      <c r="C75" s="48"/>
      <c r="D75" s="49"/>
      <c r="E75" s="49"/>
      <c r="F75" s="49"/>
      <c r="G75" s="49"/>
      <c r="H75" s="49"/>
      <c r="I75" s="50"/>
      <c r="J75" s="51"/>
      <c r="K75" s="51"/>
      <c r="L75" s="51"/>
      <c r="M75"/>
      <c r="N75"/>
      <c r="O75"/>
      <c r="Q75"/>
      <c r="R75"/>
      <c r="S75"/>
    </row>
    <row r="76" spans="3:19" ht="24.75" customHeight="1">
      <c r="C76" s="48"/>
      <c r="D76" s="49"/>
      <c r="E76" s="49"/>
      <c r="F76" s="49"/>
      <c r="G76" s="49"/>
      <c r="H76" s="49"/>
      <c r="I76" s="50"/>
      <c r="J76" s="51"/>
      <c r="K76" s="51"/>
      <c r="L76" s="51"/>
      <c r="M76"/>
      <c r="N76"/>
      <c r="O76"/>
      <c r="Q76"/>
      <c r="R76"/>
      <c r="S76"/>
    </row>
    <row r="77" spans="3:19" ht="24.75" customHeight="1">
      <c r="C77" s="48"/>
      <c r="D77" s="49"/>
      <c r="E77" s="49"/>
      <c r="F77" s="49"/>
      <c r="G77" s="49"/>
      <c r="H77" s="49"/>
      <c r="I77" s="50"/>
      <c r="J77" s="51"/>
      <c r="K77" s="51"/>
      <c r="L77" s="51"/>
      <c r="M77"/>
      <c r="N77"/>
      <c r="O77"/>
      <c r="Q77"/>
      <c r="R77"/>
      <c r="S77"/>
    </row>
    <row r="78" spans="3:19" ht="24.75" customHeight="1">
      <c r="C78" s="48"/>
      <c r="D78" s="49"/>
      <c r="E78" s="49"/>
      <c r="F78" s="49"/>
      <c r="G78" s="49"/>
      <c r="H78" s="49"/>
      <c r="I78" s="50"/>
      <c r="J78" s="51"/>
      <c r="K78" s="51"/>
      <c r="L78" s="51"/>
      <c r="M78"/>
      <c r="N78"/>
      <c r="O78"/>
      <c r="Q78"/>
      <c r="R78"/>
      <c r="S78"/>
    </row>
    <row r="79" spans="3:19" ht="24.75" customHeight="1">
      <c r="C79" s="48"/>
      <c r="D79" s="49"/>
      <c r="E79" s="49"/>
      <c r="F79" s="49"/>
      <c r="G79" s="49"/>
      <c r="H79" s="49"/>
      <c r="I79" s="50"/>
      <c r="J79" s="51"/>
      <c r="K79" s="51"/>
      <c r="L79" s="51"/>
      <c r="M79"/>
      <c r="N79"/>
      <c r="O79"/>
      <c r="Q79"/>
      <c r="R79"/>
      <c r="S79"/>
    </row>
    <row r="80" spans="3:19" ht="24.75" customHeight="1">
      <c r="C80" s="48"/>
      <c r="D80" s="49"/>
      <c r="E80" s="49"/>
      <c r="F80" s="49"/>
      <c r="G80" s="49"/>
      <c r="H80" s="49"/>
      <c r="I80" s="50"/>
      <c r="J80" s="51"/>
      <c r="K80" s="51"/>
      <c r="L80" s="51"/>
      <c r="M80"/>
      <c r="N80"/>
      <c r="O80"/>
      <c r="Q80"/>
      <c r="R80"/>
      <c r="S80"/>
    </row>
    <row r="81" spans="3:19" ht="24.75" customHeight="1">
      <c r="C81" s="48"/>
      <c r="D81" s="49"/>
      <c r="E81" s="49"/>
      <c r="F81" s="49"/>
      <c r="G81" s="49"/>
      <c r="H81" s="49"/>
      <c r="I81" s="50"/>
      <c r="J81" s="51"/>
      <c r="K81" s="51"/>
      <c r="L81" s="51"/>
      <c r="M81"/>
      <c r="N81"/>
      <c r="O81"/>
      <c r="Q81"/>
      <c r="R81"/>
      <c r="S81"/>
    </row>
    <row r="82" spans="3:19" ht="24.75" customHeight="1">
      <c r="C82" s="48"/>
      <c r="D82" s="49"/>
      <c r="E82" s="49"/>
      <c r="F82" s="49"/>
      <c r="G82" s="49"/>
      <c r="H82" s="49"/>
      <c r="I82" s="50"/>
      <c r="J82" s="51"/>
      <c r="K82" s="51"/>
      <c r="L82" s="51"/>
      <c r="M82"/>
      <c r="N82"/>
      <c r="O82"/>
      <c r="Q82"/>
      <c r="R82"/>
      <c r="S82"/>
    </row>
    <row r="83" spans="3:19" ht="24.75" customHeight="1">
      <c r="C83" s="48"/>
      <c r="D83" s="49"/>
      <c r="E83" s="49"/>
      <c r="F83" s="49"/>
      <c r="G83" s="49"/>
      <c r="H83" s="49"/>
      <c r="I83" s="50"/>
      <c r="J83" s="51"/>
      <c r="K83" s="51"/>
      <c r="L83" s="51"/>
      <c r="M83"/>
      <c r="N83"/>
      <c r="O83"/>
      <c r="Q83"/>
      <c r="R83"/>
      <c r="S83"/>
    </row>
    <row r="84" spans="3:19" ht="24.75" customHeight="1">
      <c r="C84" s="48"/>
      <c r="D84" s="49"/>
      <c r="E84" s="49"/>
      <c r="F84" s="49"/>
      <c r="G84" s="49"/>
      <c r="H84" s="49"/>
      <c r="I84" s="50"/>
      <c r="J84" s="51"/>
      <c r="K84" s="51"/>
      <c r="L84" s="51"/>
      <c r="M84"/>
      <c r="N84"/>
      <c r="O84"/>
      <c r="Q84"/>
      <c r="R84"/>
      <c r="S84"/>
    </row>
    <row r="85" spans="3:19" ht="24.75" customHeight="1">
      <c r="C85" s="48"/>
      <c r="D85" s="49"/>
      <c r="E85" s="49"/>
      <c r="F85" s="49"/>
      <c r="G85" s="49"/>
      <c r="H85" s="49"/>
      <c r="I85" s="50"/>
      <c r="J85" s="51"/>
      <c r="K85" s="51"/>
      <c r="L85" s="51"/>
      <c r="M85"/>
      <c r="N85"/>
      <c r="O85"/>
      <c r="Q85"/>
      <c r="R85"/>
      <c r="S85"/>
    </row>
    <row r="86" spans="3:19" ht="24.75" customHeight="1">
      <c r="C86" s="48"/>
      <c r="D86" s="49"/>
      <c r="E86" s="49"/>
      <c r="F86" s="49"/>
      <c r="G86" s="49"/>
      <c r="H86" s="49"/>
      <c r="I86" s="50"/>
      <c r="J86" s="51"/>
      <c r="K86" s="51"/>
      <c r="L86" s="51"/>
      <c r="M86"/>
      <c r="N86"/>
      <c r="O86"/>
      <c r="Q86"/>
      <c r="R86"/>
      <c r="S86"/>
    </row>
    <row r="87" spans="3:19" ht="24.75" customHeight="1">
      <c r="C87" s="48"/>
      <c r="D87" s="49"/>
      <c r="E87" s="49"/>
      <c r="F87" s="49"/>
      <c r="G87" s="49"/>
      <c r="H87" s="49"/>
      <c r="I87" s="50"/>
      <c r="J87" s="51"/>
      <c r="K87" s="51"/>
      <c r="L87" s="51"/>
      <c r="M87"/>
      <c r="N87"/>
      <c r="O87"/>
      <c r="Q87"/>
      <c r="R87"/>
      <c r="S87"/>
    </row>
    <row r="88" spans="3:19" ht="24.75" customHeight="1">
      <c r="C88" s="48"/>
      <c r="D88" s="49"/>
      <c r="E88" s="49"/>
      <c r="F88" s="49"/>
      <c r="G88" s="49"/>
      <c r="H88" s="49"/>
      <c r="I88" s="50"/>
      <c r="J88" s="51"/>
      <c r="K88" s="51"/>
      <c r="L88" s="51"/>
      <c r="M88"/>
      <c r="N88"/>
      <c r="O88"/>
      <c r="Q88"/>
      <c r="R88"/>
      <c r="S88"/>
    </row>
    <row r="89" spans="3:19" ht="24.75" customHeight="1">
      <c r="C89" s="48"/>
      <c r="D89" s="49"/>
      <c r="E89" s="49"/>
      <c r="F89" s="49"/>
      <c r="G89" s="49"/>
      <c r="H89" s="49"/>
      <c r="I89" s="50"/>
      <c r="J89" s="51"/>
      <c r="K89" s="51"/>
      <c r="L89" s="51"/>
      <c r="M89"/>
      <c r="N89"/>
      <c r="O89"/>
      <c r="Q89"/>
      <c r="R89"/>
      <c r="S89"/>
    </row>
    <row r="90" spans="3:19" ht="24.75" customHeight="1">
      <c r="C90" s="48"/>
      <c r="D90" s="49"/>
      <c r="E90" s="49"/>
      <c r="F90" s="49"/>
      <c r="G90" s="49"/>
      <c r="H90" s="49"/>
      <c r="I90" s="50"/>
      <c r="J90" s="51"/>
      <c r="K90" s="51"/>
      <c r="L90" s="51"/>
      <c r="M90"/>
      <c r="N90"/>
      <c r="O90"/>
      <c r="Q90"/>
      <c r="R90"/>
      <c r="S90"/>
    </row>
    <row r="91" spans="3:19" ht="24.75" customHeight="1">
      <c r="C91" s="48"/>
      <c r="D91" s="49"/>
      <c r="E91" s="49"/>
      <c r="F91" s="49"/>
      <c r="G91" s="49"/>
      <c r="H91" s="49"/>
      <c r="I91" s="50"/>
      <c r="J91" s="51"/>
      <c r="K91" s="51"/>
      <c r="L91" s="51"/>
      <c r="M91"/>
      <c r="N91"/>
      <c r="O91"/>
      <c r="Q91"/>
      <c r="R91"/>
      <c r="S91"/>
    </row>
    <row r="92" spans="3:19" ht="24.75" customHeight="1">
      <c r="C92" s="48"/>
      <c r="D92" s="49"/>
      <c r="E92" s="49"/>
      <c r="F92" s="49"/>
      <c r="G92" s="49"/>
      <c r="H92" s="49"/>
      <c r="I92" s="50"/>
      <c r="J92" s="51"/>
      <c r="K92" s="51"/>
      <c r="L92" s="51"/>
      <c r="M92"/>
      <c r="N92"/>
      <c r="O92"/>
      <c r="Q92"/>
      <c r="R92"/>
      <c r="S92"/>
    </row>
    <row r="93" spans="3:19" ht="24.75" customHeight="1">
      <c r="C93" s="48"/>
      <c r="D93" s="49"/>
      <c r="E93" s="49"/>
      <c r="F93" s="49"/>
      <c r="G93" s="49"/>
      <c r="H93" s="49"/>
      <c r="I93" s="50"/>
      <c r="J93" s="51"/>
      <c r="K93" s="51"/>
      <c r="L93" s="51"/>
      <c r="M93"/>
      <c r="N93"/>
      <c r="O93"/>
      <c r="Q93"/>
      <c r="R93"/>
      <c r="S93"/>
    </row>
    <row r="94" spans="3:19" ht="24.75" customHeight="1">
      <c r="C94" s="48"/>
      <c r="D94" s="49"/>
      <c r="E94" s="49"/>
      <c r="F94" s="49"/>
      <c r="G94" s="49"/>
      <c r="H94" s="49"/>
      <c r="I94" s="50"/>
      <c r="J94" s="51"/>
      <c r="K94" s="51"/>
      <c r="L94" s="51"/>
      <c r="M94"/>
      <c r="N94"/>
      <c r="O94"/>
      <c r="Q94"/>
      <c r="R94"/>
      <c r="S94"/>
    </row>
    <row r="95" spans="3:19" ht="24.75" customHeight="1">
      <c r="C95" s="48"/>
      <c r="D95" s="49"/>
      <c r="E95" s="49"/>
      <c r="F95" s="49"/>
      <c r="G95" s="49"/>
      <c r="H95" s="49"/>
      <c r="I95" s="50"/>
      <c r="J95" s="51"/>
      <c r="K95" s="51"/>
      <c r="L95" s="51"/>
      <c r="M95"/>
      <c r="N95"/>
      <c r="O95"/>
      <c r="Q95"/>
      <c r="R95"/>
      <c r="S95"/>
    </row>
    <row r="96" spans="3:19" ht="24.75" customHeight="1">
      <c r="C96" s="48"/>
      <c r="D96" s="49"/>
      <c r="E96" s="49"/>
      <c r="F96" s="49"/>
      <c r="G96" s="49"/>
      <c r="H96" s="49"/>
      <c r="I96" s="50"/>
      <c r="J96" s="51"/>
      <c r="K96" s="51"/>
      <c r="L96" s="51"/>
      <c r="M96"/>
      <c r="N96"/>
      <c r="O96"/>
      <c r="Q96"/>
      <c r="R96"/>
      <c r="S96"/>
    </row>
    <row r="97" spans="3:19" ht="24.75" customHeight="1">
      <c r="C97" s="48"/>
      <c r="D97" s="49"/>
      <c r="E97" s="49"/>
      <c r="F97" s="49"/>
      <c r="G97" s="49"/>
      <c r="H97" s="49"/>
      <c r="I97" s="50"/>
      <c r="J97" s="51"/>
      <c r="K97" s="51"/>
      <c r="L97" s="51"/>
      <c r="M97"/>
      <c r="N97"/>
      <c r="O97"/>
      <c r="Q97"/>
      <c r="R97"/>
      <c r="S97"/>
    </row>
    <row r="98" spans="3:19" ht="24.75" customHeight="1">
      <c r="C98" s="48"/>
      <c r="D98" s="49"/>
      <c r="E98" s="49"/>
      <c r="F98" s="49"/>
      <c r="G98" s="49"/>
      <c r="H98" s="49"/>
      <c r="I98" s="50"/>
      <c r="J98" s="51"/>
      <c r="K98" s="51"/>
      <c r="L98" s="51"/>
      <c r="M98"/>
      <c r="N98"/>
      <c r="O98"/>
      <c r="Q98"/>
      <c r="R98"/>
      <c r="S98"/>
    </row>
    <row r="99" spans="3:19" ht="24.75" customHeight="1">
      <c r="C99" s="48"/>
      <c r="D99" s="49"/>
      <c r="E99" s="49"/>
      <c r="F99" s="49"/>
      <c r="G99" s="49"/>
      <c r="H99" s="49"/>
      <c r="I99" s="50"/>
      <c r="J99" s="51"/>
      <c r="K99" s="51"/>
      <c r="L99" s="51"/>
      <c r="M99"/>
      <c r="N99"/>
      <c r="O99"/>
      <c r="Q99"/>
      <c r="R99"/>
      <c r="S99"/>
    </row>
    <row r="100" spans="3:19" ht="24.75" customHeight="1">
      <c r="C100" s="48"/>
      <c r="D100" s="49"/>
      <c r="E100" s="49"/>
      <c r="F100" s="49"/>
      <c r="G100" s="49"/>
      <c r="H100" s="49"/>
      <c r="I100" s="50"/>
      <c r="J100" s="51"/>
      <c r="K100" s="51"/>
      <c r="L100" s="51"/>
      <c r="M100"/>
      <c r="N100"/>
      <c r="O100"/>
      <c r="Q100"/>
      <c r="R100"/>
      <c r="S100"/>
    </row>
    <row r="101" spans="3:19" ht="24.75" customHeight="1">
      <c r="C101" s="48"/>
      <c r="D101" s="49"/>
      <c r="E101" s="49"/>
      <c r="F101" s="49"/>
      <c r="G101" s="49"/>
      <c r="H101" s="49"/>
      <c r="I101" s="50"/>
      <c r="J101" s="51"/>
      <c r="K101" s="51"/>
      <c r="L101" s="51"/>
      <c r="M101"/>
      <c r="N101"/>
      <c r="O101"/>
      <c r="Q101"/>
      <c r="R101"/>
      <c r="S101"/>
    </row>
    <row r="102" spans="3:19" ht="24.75" customHeight="1">
      <c r="C102" s="48"/>
      <c r="D102" s="49"/>
      <c r="E102" s="49"/>
      <c r="F102" s="49"/>
      <c r="G102" s="49"/>
      <c r="H102" s="49"/>
      <c r="I102" s="50"/>
      <c r="J102" s="51"/>
      <c r="K102" s="51"/>
      <c r="L102" s="51"/>
      <c r="M102"/>
      <c r="N102"/>
      <c r="O102"/>
      <c r="Q102"/>
      <c r="R102"/>
      <c r="S102"/>
    </row>
    <row r="103" spans="3:19" ht="24.75" customHeight="1">
      <c r="C103" s="48"/>
      <c r="D103" s="49"/>
      <c r="E103" s="49"/>
      <c r="F103" s="49"/>
      <c r="G103" s="49"/>
      <c r="H103" s="49"/>
      <c r="I103" s="50"/>
      <c r="J103" s="51"/>
      <c r="K103" s="51"/>
      <c r="L103" s="51"/>
      <c r="M103"/>
      <c r="N103"/>
      <c r="O103"/>
      <c r="Q103"/>
      <c r="R103"/>
      <c r="S103"/>
    </row>
    <row r="104" spans="3:19" ht="24.75" customHeight="1">
      <c r="C104" s="48"/>
      <c r="D104" s="49"/>
      <c r="E104" s="49"/>
      <c r="F104" s="49"/>
      <c r="G104" s="49"/>
      <c r="H104" s="49"/>
      <c r="I104" s="50"/>
      <c r="J104" s="51"/>
      <c r="K104" s="51"/>
      <c r="L104" s="51"/>
      <c r="M104"/>
      <c r="N104"/>
      <c r="O104"/>
      <c r="Q104"/>
      <c r="R104"/>
      <c r="S104"/>
    </row>
    <row r="105" spans="3:19" ht="24.75" customHeight="1">
      <c r="C105" s="48"/>
      <c r="D105" s="49"/>
      <c r="E105" s="49"/>
      <c r="F105" s="49"/>
      <c r="G105" s="49"/>
      <c r="H105" s="49"/>
      <c r="I105" s="50"/>
      <c r="J105" s="51"/>
      <c r="K105" s="51"/>
      <c r="L105" s="51"/>
      <c r="M105"/>
      <c r="N105"/>
      <c r="O105"/>
      <c r="Q105"/>
      <c r="R105"/>
      <c r="S105"/>
    </row>
    <row r="106" spans="3:19" ht="24.75" customHeight="1">
      <c r="C106" s="48"/>
      <c r="D106" s="49"/>
      <c r="E106" s="49"/>
      <c r="F106" s="49"/>
      <c r="G106" s="49"/>
      <c r="H106" s="49"/>
      <c r="I106" s="50"/>
      <c r="J106" s="51"/>
      <c r="K106" s="51"/>
      <c r="L106" s="51"/>
      <c r="M106"/>
      <c r="N106"/>
      <c r="O106"/>
      <c r="Q106"/>
      <c r="R106"/>
      <c r="S106"/>
    </row>
    <row r="107" spans="3:19" ht="24.75" customHeight="1">
      <c r="C107" s="48"/>
      <c r="D107" s="49"/>
      <c r="E107" s="49"/>
      <c r="F107" s="49"/>
      <c r="G107" s="49"/>
      <c r="H107" s="49"/>
      <c r="I107" s="50"/>
      <c r="J107" s="51"/>
      <c r="K107" s="51"/>
      <c r="L107" s="51"/>
      <c r="M107"/>
      <c r="N107"/>
      <c r="O107"/>
      <c r="Q107"/>
      <c r="R107"/>
      <c r="S107"/>
    </row>
    <row r="108" spans="3:19" ht="24.75" customHeight="1">
      <c r="C108" s="48"/>
      <c r="D108" s="49"/>
      <c r="E108" s="49"/>
      <c r="F108" s="49"/>
      <c r="G108" s="49"/>
      <c r="H108" s="49"/>
      <c r="I108" s="50"/>
      <c r="J108" s="51"/>
      <c r="K108" s="51"/>
      <c r="L108" s="51"/>
      <c r="M108"/>
      <c r="N108"/>
      <c r="O108"/>
      <c r="Q108"/>
      <c r="R108"/>
      <c r="S108"/>
    </row>
    <row r="109" spans="3:19" ht="24.75" customHeight="1">
      <c r="C109" s="48"/>
      <c r="D109" s="49"/>
      <c r="E109" s="49"/>
      <c r="F109" s="49"/>
      <c r="G109" s="49"/>
      <c r="H109" s="49"/>
      <c r="I109" s="50"/>
      <c r="J109" s="51"/>
      <c r="K109" s="51"/>
      <c r="L109" s="51"/>
      <c r="M109"/>
      <c r="N109"/>
      <c r="O109"/>
      <c r="Q109"/>
      <c r="R109"/>
      <c r="S109"/>
    </row>
    <row r="110" spans="3:19" ht="24.75" customHeight="1">
      <c r="C110" s="48"/>
      <c r="D110" s="49"/>
      <c r="E110" s="49"/>
      <c r="F110" s="49"/>
      <c r="G110" s="49"/>
      <c r="H110" s="49"/>
      <c r="I110" s="50"/>
      <c r="J110" s="51"/>
      <c r="K110" s="51"/>
      <c r="L110" s="51"/>
      <c r="M110"/>
      <c r="N110"/>
      <c r="O110"/>
      <c r="Q110"/>
      <c r="R110"/>
      <c r="S110"/>
    </row>
    <row r="111" spans="3:19" ht="24.75" customHeight="1">
      <c r="C111" s="48"/>
      <c r="D111" s="49"/>
      <c r="E111" s="49"/>
      <c r="F111" s="49"/>
      <c r="G111" s="49"/>
      <c r="H111" s="49"/>
      <c r="I111" s="50"/>
      <c r="J111" s="51"/>
      <c r="K111" s="51"/>
      <c r="L111" s="51"/>
      <c r="M111"/>
      <c r="N111"/>
      <c r="O111"/>
      <c r="Q111"/>
      <c r="R111"/>
      <c r="S111"/>
    </row>
    <row r="112" spans="3:19" ht="24.75" customHeight="1">
      <c r="C112" s="48"/>
      <c r="D112" s="49"/>
      <c r="E112" s="49"/>
      <c r="F112" s="49"/>
      <c r="G112" s="49"/>
      <c r="H112" s="49"/>
      <c r="I112" s="50"/>
      <c r="J112" s="51"/>
      <c r="K112" s="51"/>
      <c r="L112" s="51"/>
      <c r="M112"/>
      <c r="N112"/>
      <c r="O112"/>
      <c r="Q112"/>
      <c r="R112"/>
      <c r="S112"/>
    </row>
    <row r="113" spans="3:19" ht="24.75" customHeight="1">
      <c r="C113" s="48"/>
      <c r="D113" s="49"/>
      <c r="E113" s="49"/>
      <c r="F113" s="49"/>
      <c r="G113" s="49"/>
      <c r="H113" s="49"/>
      <c r="I113" s="50"/>
      <c r="J113" s="51"/>
      <c r="K113" s="51"/>
      <c r="L113" s="51"/>
      <c r="M113"/>
      <c r="N113"/>
      <c r="O113"/>
      <c r="Q113"/>
      <c r="R113"/>
      <c r="S113"/>
    </row>
  </sheetData>
  <sheetProtection password="EFEB" sheet="1" objects="1" scenarios="1"/>
  <mergeCells count="6">
    <mergeCell ref="D34:K34"/>
    <mergeCell ref="B2:S2"/>
    <mergeCell ref="M3:O3"/>
    <mergeCell ref="Q3:S3"/>
    <mergeCell ref="J4:L4"/>
    <mergeCell ref="D32:K3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B1:AJ116"/>
  <sheetViews>
    <sheetView topLeftCell="A17" workbookViewId="0">
      <selection activeCell="A34" sqref="A34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38.85546875" customWidth="1"/>
    <col min="9" max="9" width="25.5703125" style="2" customWidth="1"/>
    <col min="10" max="12" width="9.140625" style="3"/>
    <col min="13" max="15" width="14.140625" style="4" customWidth="1"/>
    <col min="16" max="16" width="13.5703125" customWidth="1"/>
    <col min="17" max="17" width="16.28515625" style="5" customWidth="1"/>
    <col min="18" max="18" width="14.85546875" style="6" customWidth="1"/>
    <col min="19" max="19" width="18" style="6" customWidth="1"/>
    <col min="251" max="251" width="7.42578125" customWidth="1"/>
    <col min="252" max="252" width="22.7109375" customWidth="1"/>
    <col min="253" max="253" width="14.140625" customWidth="1"/>
    <col min="254" max="254" width="13.140625" customWidth="1"/>
    <col min="255" max="255" width="8.140625" customWidth="1"/>
    <col min="256" max="256" width="10.85546875" customWidth="1"/>
    <col min="257" max="257" width="38.85546875" customWidth="1"/>
    <col min="258" max="258" width="25.5703125" customWidth="1"/>
    <col min="262" max="262" width="44.85546875" customWidth="1"/>
    <col min="263" max="264" width="14.140625" customWidth="1"/>
    <col min="265" max="265" width="13.85546875" customWidth="1"/>
    <col min="266" max="266" width="13.5703125" customWidth="1"/>
    <col min="267" max="267" width="11.7109375" customWidth="1"/>
    <col min="268" max="268" width="14" customWidth="1"/>
    <col min="269" max="269" width="16.28515625" customWidth="1"/>
    <col min="270" max="270" width="12.5703125" customWidth="1"/>
    <col min="271" max="271" width="13.28515625" customWidth="1"/>
    <col min="272" max="272" width="14.85546875" customWidth="1"/>
    <col min="273" max="273" width="18" customWidth="1"/>
    <col min="274" max="274" width="24" customWidth="1"/>
    <col min="507" max="507" width="7.42578125" customWidth="1"/>
    <col min="508" max="508" width="22.7109375" customWidth="1"/>
    <col min="509" max="509" width="14.140625" customWidth="1"/>
    <col min="510" max="510" width="13.140625" customWidth="1"/>
    <col min="511" max="511" width="8.140625" customWidth="1"/>
    <col min="512" max="512" width="10.85546875" customWidth="1"/>
    <col min="513" max="513" width="38.85546875" customWidth="1"/>
    <col min="514" max="514" width="25.5703125" customWidth="1"/>
    <col min="518" max="518" width="44.85546875" customWidth="1"/>
    <col min="519" max="520" width="14.140625" customWidth="1"/>
    <col min="521" max="521" width="13.85546875" customWidth="1"/>
    <col min="522" max="522" width="13.5703125" customWidth="1"/>
    <col min="523" max="523" width="11.7109375" customWidth="1"/>
    <col min="524" max="524" width="14" customWidth="1"/>
    <col min="525" max="525" width="16.28515625" customWidth="1"/>
    <col min="526" max="526" width="12.5703125" customWidth="1"/>
    <col min="527" max="527" width="13.28515625" customWidth="1"/>
    <col min="528" max="528" width="14.85546875" customWidth="1"/>
    <col min="529" max="529" width="18" customWidth="1"/>
    <col min="530" max="530" width="24" customWidth="1"/>
    <col min="763" max="763" width="7.42578125" customWidth="1"/>
    <col min="764" max="764" width="22.7109375" customWidth="1"/>
    <col min="765" max="765" width="14.140625" customWidth="1"/>
    <col min="766" max="766" width="13.140625" customWidth="1"/>
    <col min="767" max="767" width="8.140625" customWidth="1"/>
    <col min="768" max="768" width="10.85546875" customWidth="1"/>
    <col min="769" max="769" width="38.85546875" customWidth="1"/>
    <col min="770" max="770" width="25.5703125" customWidth="1"/>
    <col min="774" max="774" width="44.85546875" customWidth="1"/>
    <col min="775" max="776" width="14.140625" customWidth="1"/>
    <col min="777" max="777" width="13.85546875" customWidth="1"/>
    <col min="778" max="778" width="13.5703125" customWidth="1"/>
    <col min="779" max="779" width="11.7109375" customWidth="1"/>
    <col min="780" max="780" width="14" customWidth="1"/>
    <col min="781" max="781" width="16.28515625" customWidth="1"/>
    <col min="782" max="782" width="12.5703125" customWidth="1"/>
    <col min="783" max="783" width="13.28515625" customWidth="1"/>
    <col min="784" max="784" width="14.85546875" customWidth="1"/>
    <col min="785" max="785" width="18" customWidth="1"/>
    <col min="786" max="786" width="24" customWidth="1"/>
    <col min="1019" max="1019" width="7.42578125" customWidth="1"/>
    <col min="1020" max="1020" width="22.7109375" customWidth="1"/>
    <col min="1021" max="1021" width="14.140625" customWidth="1"/>
    <col min="1022" max="1022" width="13.140625" customWidth="1"/>
    <col min="1023" max="1023" width="8.140625" customWidth="1"/>
    <col min="1024" max="1024" width="10.85546875" customWidth="1"/>
    <col min="1025" max="1025" width="38.85546875" customWidth="1"/>
    <col min="1026" max="1026" width="25.5703125" customWidth="1"/>
    <col min="1030" max="1030" width="44.85546875" customWidth="1"/>
    <col min="1031" max="1032" width="14.140625" customWidth="1"/>
    <col min="1033" max="1033" width="13.85546875" customWidth="1"/>
    <col min="1034" max="1034" width="13.5703125" customWidth="1"/>
    <col min="1035" max="1035" width="11.7109375" customWidth="1"/>
    <col min="1036" max="1036" width="14" customWidth="1"/>
    <col min="1037" max="1037" width="16.28515625" customWidth="1"/>
    <col min="1038" max="1038" width="12.5703125" customWidth="1"/>
    <col min="1039" max="1039" width="13.28515625" customWidth="1"/>
    <col min="1040" max="1040" width="14.85546875" customWidth="1"/>
    <col min="1041" max="1041" width="18" customWidth="1"/>
    <col min="1042" max="1042" width="24" customWidth="1"/>
    <col min="1275" max="1275" width="7.42578125" customWidth="1"/>
    <col min="1276" max="1276" width="22.7109375" customWidth="1"/>
    <col min="1277" max="1277" width="14.140625" customWidth="1"/>
    <col min="1278" max="1278" width="13.140625" customWidth="1"/>
    <col min="1279" max="1279" width="8.140625" customWidth="1"/>
    <col min="1280" max="1280" width="10.85546875" customWidth="1"/>
    <col min="1281" max="1281" width="38.85546875" customWidth="1"/>
    <col min="1282" max="1282" width="25.5703125" customWidth="1"/>
    <col min="1286" max="1286" width="44.85546875" customWidth="1"/>
    <col min="1287" max="1288" width="14.140625" customWidth="1"/>
    <col min="1289" max="1289" width="13.85546875" customWidth="1"/>
    <col min="1290" max="1290" width="13.5703125" customWidth="1"/>
    <col min="1291" max="1291" width="11.7109375" customWidth="1"/>
    <col min="1292" max="1292" width="14" customWidth="1"/>
    <col min="1293" max="1293" width="16.28515625" customWidth="1"/>
    <col min="1294" max="1294" width="12.5703125" customWidth="1"/>
    <col min="1295" max="1295" width="13.28515625" customWidth="1"/>
    <col min="1296" max="1296" width="14.85546875" customWidth="1"/>
    <col min="1297" max="1297" width="18" customWidth="1"/>
    <col min="1298" max="1298" width="24" customWidth="1"/>
    <col min="1531" max="1531" width="7.42578125" customWidth="1"/>
    <col min="1532" max="1532" width="22.7109375" customWidth="1"/>
    <col min="1533" max="1533" width="14.140625" customWidth="1"/>
    <col min="1534" max="1534" width="13.140625" customWidth="1"/>
    <col min="1535" max="1535" width="8.140625" customWidth="1"/>
    <col min="1536" max="1536" width="10.85546875" customWidth="1"/>
    <col min="1537" max="1537" width="38.85546875" customWidth="1"/>
    <col min="1538" max="1538" width="25.5703125" customWidth="1"/>
    <col min="1542" max="1542" width="44.85546875" customWidth="1"/>
    <col min="1543" max="1544" width="14.140625" customWidth="1"/>
    <col min="1545" max="1545" width="13.85546875" customWidth="1"/>
    <col min="1546" max="1546" width="13.5703125" customWidth="1"/>
    <col min="1547" max="1547" width="11.7109375" customWidth="1"/>
    <col min="1548" max="1548" width="14" customWidth="1"/>
    <col min="1549" max="1549" width="16.28515625" customWidth="1"/>
    <col min="1550" max="1550" width="12.5703125" customWidth="1"/>
    <col min="1551" max="1551" width="13.28515625" customWidth="1"/>
    <col min="1552" max="1552" width="14.85546875" customWidth="1"/>
    <col min="1553" max="1553" width="18" customWidth="1"/>
    <col min="1554" max="1554" width="24" customWidth="1"/>
    <col min="1787" max="1787" width="7.42578125" customWidth="1"/>
    <col min="1788" max="1788" width="22.7109375" customWidth="1"/>
    <col min="1789" max="1789" width="14.140625" customWidth="1"/>
    <col min="1790" max="1790" width="13.140625" customWidth="1"/>
    <col min="1791" max="1791" width="8.140625" customWidth="1"/>
    <col min="1792" max="1792" width="10.85546875" customWidth="1"/>
    <col min="1793" max="1793" width="38.85546875" customWidth="1"/>
    <col min="1794" max="1794" width="25.5703125" customWidth="1"/>
    <col min="1798" max="1798" width="44.85546875" customWidth="1"/>
    <col min="1799" max="1800" width="14.140625" customWidth="1"/>
    <col min="1801" max="1801" width="13.85546875" customWidth="1"/>
    <col min="1802" max="1802" width="13.5703125" customWidth="1"/>
    <col min="1803" max="1803" width="11.7109375" customWidth="1"/>
    <col min="1804" max="1804" width="14" customWidth="1"/>
    <col min="1805" max="1805" width="16.28515625" customWidth="1"/>
    <col min="1806" max="1806" width="12.5703125" customWidth="1"/>
    <col min="1807" max="1807" width="13.28515625" customWidth="1"/>
    <col min="1808" max="1808" width="14.85546875" customWidth="1"/>
    <col min="1809" max="1809" width="18" customWidth="1"/>
    <col min="1810" max="1810" width="24" customWidth="1"/>
    <col min="2043" max="2043" width="7.42578125" customWidth="1"/>
    <col min="2044" max="2044" width="22.7109375" customWidth="1"/>
    <col min="2045" max="2045" width="14.140625" customWidth="1"/>
    <col min="2046" max="2046" width="13.140625" customWidth="1"/>
    <col min="2047" max="2047" width="8.140625" customWidth="1"/>
    <col min="2048" max="2048" width="10.85546875" customWidth="1"/>
    <col min="2049" max="2049" width="38.85546875" customWidth="1"/>
    <col min="2050" max="2050" width="25.5703125" customWidth="1"/>
    <col min="2054" max="2054" width="44.85546875" customWidth="1"/>
    <col min="2055" max="2056" width="14.140625" customWidth="1"/>
    <col min="2057" max="2057" width="13.85546875" customWidth="1"/>
    <col min="2058" max="2058" width="13.5703125" customWidth="1"/>
    <col min="2059" max="2059" width="11.7109375" customWidth="1"/>
    <col min="2060" max="2060" width="14" customWidth="1"/>
    <col min="2061" max="2061" width="16.28515625" customWidth="1"/>
    <col min="2062" max="2062" width="12.5703125" customWidth="1"/>
    <col min="2063" max="2063" width="13.28515625" customWidth="1"/>
    <col min="2064" max="2064" width="14.85546875" customWidth="1"/>
    <col min="2065" max="2065" width="18" customWidth="1"/>
    <col min="2066" max="2066" width="24" customWidth="1"/>
    <col min="2299" max="2299" width="7.42578125" customWidth="1"/>
    <col min="2300" max="2300" width="22.7109375" customWidth="1"/>
    <col min="2301" max="2301" width="14.140625" customWidth="1"/>
    <col min="2302" max="2302" width="13.140625" customWidth="1"/>
    <col min="2303" max="2303" width="8.140625" customWidth="1"/>
    <col min="2304" max="2304" width="10.85546875" customWidth="1"/>
    <col min="2305" max="2305" width="38.85546875" customWidth="1"/>
    <col min="2306" max="2306" width="25.5703125" customWidth="1"/>
    <col min="2310" max="2310" width="44.85546875" customWidth="1"/>
    <col min="2311" max="2312" width="14.140625" customWidth="1"/>
    <col min="2313" max="2313" width="13.85546875" customWidth="1"/>
    <col min="2314" max="2314" width="13.5703125" customWidth="1"/>
    <col min="2315" max="2315" width="11.7109375" customWidth="1"/>
    <col min="2316" max="2316" width="14" customWidth="1"/>
    <col min="2317" max="2317" width="16.28515625" customWidth="1"/>
    <col min="2318" max="2318" width="12.5703125" customWidth="1"/>
    <col min="2319" max="2319" width="13.28515625" customWidth="1"/>
    <col min="2320" max="2320" width="14.85546875" customWidth="1"/>
    <col min="2321" max="2321" width="18" customWidth="1"/>
    <col min="2322" max="2322" width="24" customWidth="1"/>
    <col min="2555" max="2555" width="7.42578125" customWidth="1"/>
    <col min="2556" max="2556" width="22.7109375" customWidth="1"/>
    <col min="2557" max="2557" width="14.140625" customWidth="1"/>
    <col min="2558" max="2558" width="13.140625" customWidth="1"/>
    <col min="2559" max="2559" width="8.140625" customWidth="1"/>
    <col min="2560" max="2560" width="10.85546875" customWidth="1"/>
    <col min="2561" max="2561" width="38.85546875" customWidth="1"/>
    <col min="2562" max="2562" width="25.5703125" customWidth="1"/>
    <col min="2566" max="2566" width="44.85546875" customWidth="1"/>
    <col min="2567" max="2568" width="14.140625" customWidth="1"/>
    <col min="2569" max="2569" width="13.85546875" customWidth="1"/>
    <col min="2570" max="2570" width="13.5703125" customWidth="1"/>
    <col min="2571" max="2571" width="11.7109375" customWidth="1"/>
    <col min="2572" max="2572" width="14" customWidth="1"/>
    <col min="2573" max="2573" width="16.28515625" customWidth="1"/>
    <col min="2574" max="2574" width="12.5703125" customWidth="1"/>
    <col min="2575" max="2575" width="13.28515625" customWidth="1"/>
    <col min="2576" max="2576" width="14.85546875" customWidth="1"/>
    <col min="2577" max="2577" width="18" customWidth="1"/>
    <col min="2578" max="2578" width="24" customWidth="1"/>
    <col min="2811" max="2811" width="7.42578125" customWidth="1"/>
    <col min="2812" max="2812" width="22.7109375" customWidth="1"/>
    <col min="2813" max="2813" width="14.140625" customWidth="1"/>
    <col min="2814" max="2814" width="13.140625" customWidth="1"/>
    <col min="2815" max="2815" width="8.140625" customWidth="1"/>
    <col min="2816" max="2816" width="10.85546875" customWidth="1"/>
    <col min="2817" max="2817" width="38.85546875" customWidth="1"/>
    <col min="2818" max="2818" width="25.5703125" customWidth="1"/>
    <col min="2822" max="2822" width="44.85546875" customWidth="1"/>
    <col min="2823" max="2824" width="14.140625" customWidth="1"/>
    <col min="2825" max="2825" width="13.85546875" customWidth="1"/>
    <col min="2826" max="2826" width="13.5703125" customWidth="1"/>
    <col min="2827" max="2827" width="11.7109375" customWidth="1"/>
    <col min="2828" max="2828" width="14" customWidth="1"/>
    <col min="2829" max="2829" width="16.28515625" customWidth="1"/>
    <col min="2830" max="2830" width="12.5703125" customWidth="1"/>
    <col min="2831" max="2831" width="13.28515625" customWidth="1"/>
    <col min="2832" max="2832" width="14.85546875" customWidth="1"/>
    <col min="2833" max="2833" width="18" customWidth="1"/>
    <col min="2834" max="2834" width="24" customWidth="1"/>
    <col min="3067" max="3067" width="7.42578125" customWidth="1"/>
    <col min="3068" max="3068" width="22.7109375" customWidth="1"/>
    <col min="3069" max="3069" width="14.140625" customWidth="1"/>
    <col min="3070" max="3070" width="13.140625" customWidth="1"/>
    <col min="3071" max="3071" width="8.140625" customWidth="1"/>
    <col min="3072" max="3072" width="10.85546875" customWidth="1"/>
    <col min="3073" max="3073" width="38.85546875" customWidth="1"/>
    <col min="3074" max="3074" width="25.5703125" customWidth="1"/>
    <col min="3078" max="3078" width="44.85546875" customWidth="1"/>
    <col min="3079" max="3080" width="14.140625" customWidth="1"/>
    <col min="3081" max="3081" width="13.85546875" customWidth="1"/>
    <col min="3082" max="3082" width="13.5703125" customWidth="1"/>
    <col min="3083" max="3083" width="11.7109375" customWidth="1"/>
    <col min="3084" max="3084" width="14" customWidth="1"/>
    <col min="3085" max="3085" width="16.28515625" customWidth="1"/>
    <col min="3086" max="3086" width="12.5703125" customWidth="1"/>
    <col min="3087" max="3087" width="13.28515625" customWidth="1"/>
    <col min="3088" max="3088" width="14.85546875" customWidth="1"/>
    <col min="3089" max="3089" width="18" customWidth="1"/>
    <col min="3090" max="3090" width="24" customWidth="1"/>
    <col min="3323" max="3323" width="7.42578125" customWidth="1"/>
    <col min="3324" max="3324" width="22.7109375" customWidth="1"/>
    <col min="3325" max="3325" width="14.140625" customWidth="1"/>
    <col min="3326" max="3326" width="13.140625" customWidth="1"/>
    <col min="3327" max="3327" width="8.140625" customWidth="1"/>
    <col min="3328" max="3328" width="10.85546875" customWidth="1"/>
    <col min="3329" max="3329" width="38.85546875" customWidth="1"/>
    <col min="3330" max="3330" width="25.5703125" customWidth="1"/>
    <col min="3334" max="3334" width="44.85546875" customWidth="1"/>
    <col min="3335" max="3336" width="14.140625" customWidth="1"/>
    <col min="3337" max="3337" width="13.85546875" customWidth="1"/>
    <col min="3338" max="3338" width="13.5703125" customWidth="1"/>
    <col min="3339" max="3339" width="11.7109375" customWidth="1"/>
    <col min="3340" max="3340" width="14" customWidth="1"/>
    <col min="3341" max="3341" width="16.28515625" customWidth="1"/>
    <col min="3342" max="3342" width="12.5703125" customWidth="1"/>
    <col min="3343" max="3343" width="13.28515625" customWidth="1"/>
    <col min="3344" max="3344" width="14.85546875" customWidth="1"/>
    <col min="3345" max="3345" width="18" customWidth="1"/>
    <col min="3346" max="3346" width="24" customWidth="1"/>
    <col min="3579" max="3579" width="7.42578125" customWidth="1"/>
    <col min="3580" max="3580" width="22.7109375" customWidth="1"/>
    <col min="3581" max="3581" width="14.140625" customWidth="1"/>
    <col min="3582" max="3582" width="13.140625" customWidth="1"/>
    <col min="3583" max="3583" width="8.140625" customWidth="1"/>
    <col min="3584" max="3584" width="10.85546875" customWidth="1"/>
    <col min="3585" max="3585" width="38.85546875" customWidth="1"/>
    <col min="3586" max="3586" width="25.5703125" customWidth="1"/>
    <col min="3590" max="3590" width="44.85546875" customWidth="1"/>
    <col min="3591" max="3592" width="14.140625" customWidth="1"/>
    <col min="3593" max="3593" width="13.85546875" customWidth="1"/>
    <col min="3594" max="3594" width="13.5703125" customWidth="1"/>
    <col min="3595" max="3595" width="11.7109375" customWidth="1"/>
    <col min="3596" max="3596" width="14" customWidth="1"/>
    <col min="3597" max="3597" width="16.28515625" customWidth="1"/>
    <col min="3598" max="3598" width="12.5703125" customWidth="1"/>
    <col min="3599" max="3599" width="13.28515625" customWidth="1"/>
    <col min="3600" max="3600" width="14.85546875" customWidth="1"/>
    <col min="3601" max="3601" width="18" customWidth="1"/>
    <col min="3602" max="3602" width="24" customWidth="1"/>
    <col min="3835" max="3835" width="7.42578125" customWidth="1"/>
    <col min="3836" max="3836" width="22.7109375" customWidth="1"/>
    <col min="3837" max="3837" width="14.140625" customWidth="1"/>
    <col min="3838" max="3838" width="13.140625" customWidth="1"/>
    <col min="3839" max="3839" width="8.140625" customWidth="1"/>
    <col min="3840" max="3840" width="10.85546875" customWidth="1"/>
    <col min="3841" max="3841" width="38.85546875" customWidth="1"/>
    <col min="3842" max="3842" width="25.5703125" customWidth="1"/>
    <col min="3846" max="3846" width="44.85546875" customWidth="1"/>
    <col min="3847" max="3848" width="14.140625" customWidth="1"/>
    <col min="3849" max="3849" width="13.85546875" customWidth="1"/>
    <col min="3850" max="3850" width="13.5703125" customWidth="1"/>
    <col min="3851" max="3851" width="11.7109375" customWidth="1"/>
    <col min="3852" max="3852" width="14" customWidth="1"/>
    <col min="3853" max="3853" width="16.28515625" customWidth="1"/>
    <col min="3854" max="3854" width="12.5703125" customWidth="1"/>
    <col min="3855" max="3855" width="13.28515625" customWidth="1"/>
    <col min="3856" max="3856" width="14.85546875" customWidth="1"/>
    <col min="3857" max="3857" width="18" customWidth="1"/>
    <col min="3858" max="3858" width="24" customWidth="1"/>
    <col min="4091" max="4091" width="7.42578125" customWidth="1"/>
    <col min="4092" max="4092" width="22.7109375" customWidth="1"/>
    <col min="4093" max="4093" width="14.140625" customWidth="1"/>
    <col min="4094" max="4094" width="13.140625" customWidth="1"/>
    <col min="4095" max="4095" width="8.140625" customWidth="1"/>
    <col min="4096" max="4096" width="10.85546875" customWidth="1"/>
    <col min="4097" max="4097" width="38.85546875" customWidth="1"/>
    <col min="4098" max="4098" width="25.5703125" customWidth="1"/>
    <col min="4102" max="4102" width="44.85546875" customWidth="1"/>
    <col min="4103" max="4104" width="14.140625" customWidth="1"/>
    <col min="4105" max="4105" width="13.85546875" customWidth="1"/>
    <col min="4106" max="4106" width="13.5703125" customWidth="1"/>
    <col min="4107" max="4107" width="11.7109375" customWidth="1"/>
    <col min="4108" max="4108" width="14" customWidth="1"/>
    <col min="4109" max="4109" width="16.28515625" customWidth="1"/>
    <col min="4110" max="4110" width="12.5703125" customWidth="1"/>
    <col min="4111" max="4111" width="13.28515625" customWidth="1"/>
    <col min="4112" max="4112" width="14.85546875" customWidth="1"/>
    <col min="4113" max="4113" width="18" customWidth="1"/>
    <col min="4114" max="4114" width="24" customWidth="1"/>
    <col min="4347" max="4347" width="7.42578125" customWidth="1"/>
    <col min="4348" max="4348" width="22.7109375" customWidth="1"/>
    <col min="4349" max="4349" width="14.140625" customWidth="1"/>
    <col min="4350" max="4350" width="13.140625" customWidth="1"/>
    <col min="4351" max="4351" width="8.140625" customWidth="1"/>
    <col min="4352" max="4352" width="10.85546875" customWidth="1"/>
    <col min="4353" max="4353" width="38.85546875" customWidth="1"/>
    <col min="4354" max="4354" width="25.5703125" customWidth="1"/>
    <col min="4358" max="4358" width="44.85546875" customWidth="1"/>
    <col min="4359" max="4360" width="14.140625" customWidth="1"/>
    <col min="4361" max="4361" width="13.85546875" customWidth="1"/>
    <col min="4362" max="4362" width="13.5703125" customWidth="1"/>
    <col min="4363" max="4363" width="11.7109375" customWidth="1"/>
    <col min="4364" max="4364" width="14" customWidth="1"/>
    <col min="4365" max="4365" width="16.28515625" customWidth="1"/>
    <col min="4366" max="4366" width="12.5703125" customWidth="1"/>
    <col min="4367" max="4367" width="13.28515625" customWidth="1"/>
    <col min="4368" max="4368" width="14.85546875" customWidth="1"/>
    <col min="4369" max="4369" width="18" customWidth="1"/>
    <col min="4370" max="4370" width="24" customWidth="1"/>
    <col min="4603" max="4603" width="7.42578125" customWidth="1"/>
    <col min="4604" max="4604" width="22.7109375" customWidth="1"/>
    <col min="4605" max="4605" width="14.140625" customWidth="1"/>
    <col min="4606" max="4606" width="13.140625" customWidth="1"/>
    <col min="4607" max="4607" width="8.140625" customWidth="1"/>
    <col min="4608" max="4608" width="10.85546875" customWidth="1"/>
    <col min="4609" max="4609" width="38.85546875" customWidth="1"/>
    <col min="4610" max="4610" width="25.5703125" customWidth="1"/>
    <col min="4614" max="4614" width="44.85546875" customWidth="1"/>
    <col min="4615" max="4616" width="14.140625" customWidth="1"/>
    <col min="4617" max="4617" width="13.85546875" customWidth="1"/>
    <col min="4618" max="4618" width="13.5703125" customWidth="1"/>
    <col min="4619" max="4619" width="11.7109375" customWidth="1"/>
    <col min="4620" max="4620" width="14" customWidth="1"/>
    <col min="4621" max="4621" width="16.28515625" customWidth="1"/>
    <col min="4622" max="4622" width="12.5703125" customWidth="1"/>
    <col min="4623" max="4623" width="13.28515625" customWidth="1"/>
    <col min="4624" max="4624" width="14.85546875" customWidth="1"/>
    <col min="4625" max="4625" width="18" customWidth="1"/>
    <col min="4626" max="4626" width="24" customWidth="1"/>
    <col min="4859" max="4859" width="7.42578125" customWidth="1"/>
    <col min="4860" max="4860" width="22.7109375" customWidth="1"/>
    <col min="4861" max="4861" width="14.140625" customWidth="1"/>
    <col min="4862" max="4862" width="13.140625" customWidth="1"/>
    <col min="4863" max="4863" width="8.140625" customWidth="1"/>
    <col min="4864" max="4864" width="10.85546875" customWidth="1"/>
    <col min="4865" max="4865" width="38.85546875" customWidth="1"/>
    <col min="4866" max="4866" width="25.5703125" customWidth="1"/>
    <col min="4870" max="4870" width="44.85546875" customWidth="1"/>
    <col min="4871" max="4872" width="14.140625" customWidth="1"/>
    <col min="4873" max="4873" width="13.85546875" customWidth="1"/>
    <col min="4874" max="4874" width="13.5703125" customWidth="1"/>
    <col min="4875" max="4875" width="11.7109375" customWidth="1"/>
    <col min="4876" max="4876" width="14" customWidth="1"/>
    <col min="4877" max="4877" width="16.28515625" customWidth="1"/>
    <col min="4878" max="4878" width="12.5703125" customWidth="1"/>
    <col min="4879" max="4879" width="13.28515625" customWidth="1"/>
    <col min="4880" max="4880" width="14.85546875" customWidth="1"/>
    <col min="4881" max="4881" width="18" customWidth="1"/>
    <col min="4882" max="4882" width="24" customWidth="1"/>
    <col min="5115" max="5115" width="7.42578125" customWidth="1"/>
    <col min="5116" max="5116" width="22.7109375" customWidth="1"/>
    <col min="5117" max="5117" width="14.140625" customWidth="1"/>
    <col min="5118" max="5118" width="13.140625" customWidth="1"/>
    <col min="5119" max="5119" width="8.140625" customWidth="1"/>
    <col min="5120" max="5120" width="10.85546875" customWidth="1"/>
    <col min="5121" max="5121" width="38.85546875" customWidth="1"/>
    <col min="5122" max="5122" width="25.5703125" customWidth="1"/>
    <col min="5126" max="5126" width="44.85546875" customWidth="1"/>
    <col min="5127" max="5128" width="14.140625" customWidth="1"/>
    <col min="5129" max="5129" width="13.85546875" customWidth="1"/>
    <col min="5130" max="5130" width="13.5703125" customWidth="1"/>
    <col min="5131" max="5131" width="11.7109375" customWidth="1"/>
    <col min="5132" max="5132" width="14" customWidth="1"/>
    <col min="5133" max="5133" width="16.28515625" customWidth="1"/>
    <col min="5134" max="5134" width="12.5703125" customWidth="1"/>
    <col min="5135" max="5135" width="13.28515625" customWidth="1"/>
    <col min="5136" max="5136" width="14.85546875" customWidth="1"/>
    <col min="5137" max="5137" width="18" customWidth="1"/>
    <col min="5138" max="5138" width="24" customWidth="1"/>
    <col min="5371" max="5371" width="7.42578125" customWidth="1"/>
    <col min="5372" max="5372" width="22.7109375" customWidth="1"/>
    <col min="5373" max="5373" width="14.140625" customWidth="1"/>
    <col min="5374" max="5374" width="13.140625" customWidth="1"/>
    <col min="5375" max="5375" width="8.140625" customWidth="1"/>
    <col min="5376" max="5376" width="10.85546875" customWidth="1"/>
    <col min="5377" max="5377" width="38.85546875" customWidth="1"/>
    <col min="5378" max="5378" width="25.5703125" customWidth="1"/>
    <col min="5382" max="5382" width="44.85546875" customWidth="1"/>
    <col min="5383" max="5384" width="14.140625" customWidth="1"/>
    <col min="5385" max="5385" width="13.85546875" customWidth="1"/>
    <col min="5386" max="5386" width="13.5703125" customWidth="1"/>
    <col min="5387" max="5387" width="11.7109375" customWidth="1"/>
    <col min="5388" max="5388" width="14" customWidth="1"/>
    <col min="5389" max="5389" width="16.28515625" customWidth="1"/>
    <col min="5390" max="5390" width="12.5703125" customWidth="1"/>
    <col min="5391" max="5391" width="13.28515625" customWidth="1"/>
    <col min="5392" max="5392" width="14.85546875" customWidth="1"/>
    <col min="5393" max="5393" width="18" customWidth="1"/>
    <col min="5394" max="5394" width="24" customWidth="1"/>
    <col min="5627" max="5627" width="7.42578125" customWidth="1"/>
    <col min="5628" max="5628" width="22.7109375" customWidth="1"/>
    <col min="5629" max="5629" width="14.140625" customWidth="1"/>
    <col min="5630" max="5630" width="13.140625" customWidth="1"/>
    <col min="5631" max="5631" width="8.140625" customWidth="1"/>
    <col min="5632" max="5632" width="10.85546875" customWidth="1"/>
    <col min="5633" max="5633" width="38.85546875" customWidth="1"/>
    <col min="5634" max="5634" width="25.5703125" customWidth="1"/>
    <col min="5638" max="5638" width="44.85546875" customWidth="1"/>
    <col min="5639" max="5640" width="14.140625" customWidth="1"/>
    <col min="5641" max="5641" width="13.85546875" customWidth="1"/>
    <col min="5642" max="5642" width="13.5703125" customWidth="1"/>
    <col min="5643" max="5643" width="11.7109375" customWidth="1"/>
    <col min="5644" max="5644" width="14" customWidth="1"/>
    <col min="5645" max="5645" width="16.28515625" customWidth="1"/>
    <col min="5646" max="5646" width="12.5703125" customWidth="1"/>
    <col min="5647" max="5647" width="13.28515625" customWidth="1"/>
    <col min="5648" max="5648" width="14.85546875" customWidth="1"/>
    <col min="5649" max="5649" width="18" customWidth="1"/>
    <col min="5650" max="5650" width="24" customWidth="1"/>
    <col min="5883" max="5883" width="7.42578125" customWidth="1"/>
    <col min="5884" max="5884" width="22.7109375" customWidth="1"/>
    <col min="5885" max="5885" width="14.140625" customWidth="1"/>
    <col min="5886" max="5886" width="13.140625" customWidth="1"/>
    <col min="5887" max="5887" width="8.140625" customWidth="1"/>
    <col min="5888" max="5888" width="10.85546875" customWidth="1"/>
    <col min="5889" max="5889" width="38.85546875" customWidth="1"/>
    <col min="5890" max="5890" width="25.5703125" customWidth="1"/>
    <col min="5894" max="5894" width="44.85546875" customWidth="1"/>
    <col min="5895" max="5896" width="14.140625" customWidth="1"/>
    <col min="5897" max="5897" width="13.85546875" customWidth="1"/>
    <col min="5898" max="5898" width="13.5703125" customWidth="1"/>
    <col min="5899" max="5899" width="11.7109375" customWidth="1"/>
    <col min="5900" max="5900" width="14" customWidth="1"/>
    <col min="5901" max="5901" width="16.28515625" customWidth="1"/>
    <col min="5902" max="5902" width="12.5703125" customWidth="1"/>
    <col min="5903" max="5903" width="13.28515625" customWidth="1"/>
    <col min="5904" max="5904" width="14.85546875" customWidth="1"/>
    <col min="5905" max="5905" width="18" customWidth="1"/>
    <col min="5906" max="5906" width="24" customWidth="1"/>
    <col min="6139" max="6139" width="7.42578125" customWidth="1"/>
    <col min="6140" max="6140" width="22.7109375" customWidth="1"/>
    <col min="6141" max="6141" width="14.140625" customWidth="1"/>
    <col min="6142" max="6142" width="13.140625" customWidth="1"/>
    <col min="6143" max="6143" width="8.140625" customWidth="1"/>
    <col min="6144" max="6144" width="10.85546875" customWidth="1"/>
    <col min="6145" max="6145" width="38.85546875" customWidth="1"/>
    <col min="6146" max="6146" width="25.5703125" customWidth="1"/>
    <col min="6150" max="6150" width="44.85546875" customWidth="1"/>
    <col min="6151" max="6152" width="14.140625" customWidth="1"/>
    <col min="6153" max="6153" width="13.85546875" customWidth="1"/>
    <col min="6154" max="6154" width="13.5703125" customWidth="1"/>
    <col min="6155" max="6155" width="11.7109375" customWidth="1"/>
    <col min="6156" max="6156" width="14" customWidth="1"/>
    <col min="6157" max="6157" width="16.28515625" customWidth="1"/>
    <col min="6158" max="6158" width="12.5703125" customWidth="1"/>
    <col min="6159" max="6159" width="13.28515625" customWidth="1"/>
    <col min="6160" max="6160" width="14.85546875" customWidth="1"/>
    <col min="6161" max="6161" width="18" customWidth="1"/>
    <col min="6162" max="6162" width="24" customWidth="1"/>
    <col min="6395" max="6395" width="7.42578125" customWidth="1"/>
    <col min="6396" max="6396" width="22.7109375" customWidth="1"/>
    <col min="6397" max="6397" width="14.140625" customWidth="1"/>
    <col min="6398" max="6398" width="13.140625" customWidth="1"/>
    <col min="6399" max="6399" width="8.140625" customWidth="1"/>
    <col min="6400" max="6400" width="10.85546875" customWidth="1"/>
    <col min="6401" max="6401" width="38.85546875" customWidth="1"/>
    <col min="6402" max="6402" width="25.5703125" customWidth="1"/>
    <col min="6406" max="6406" width="44.85546875" customWidth="1"/>
    <col min="6407" max="6408" width="14.140625" customWidth="1"/>
    <col min="6409" max="6409" width="13.85546875" customWidth="1"/>
    <col min="6410" max="6410" width="13.5703125" customWidth="1"/>
    <col min="6411" max="6411" width="11.7109375" customWidth="1"/>
    <col min="6412" max="6412" width="14" customWidth="1"/>
    <col min="6413" max="6413" width="16.28515625" customWidth="1"/>
    <col min="6414" max="6414" width="12.5703125" customWidth="1"/>
    <col min="6415" max="6415" width="13.28515625" customWidth="1"/>
    <col min="6416" max="6416" width="14.85546875" customWidth="1"/>
    <col min="6417" max="6417" width="18" customWidth="1"/>
    <col min="6418" max="6418" width="24" customWidth="1"/>
    <col min="6651" max="6651" width="7.42578125" customWidth="1"/>
    <col min="6652" max="6652" width="22.7109375" customWidth="1"/>
    <col min="6653" max="6653" width="14.140625" customWidth="1"/>
    <col min="6654" max="6654" width="13.140625" customWidth="1"/>
    <col min="6655" max="6655" width="8.140625" customWidth="1"/>
    <col min="6656" max="6656" width="10.85546875" customWidth="1"/>
    <col min="6657" max="6657" width="38.85546875" customWidth="1"/>
    <col min="6658" max="6658" width="25.5703125" customWidth="1"/>
    <col min="6662" max="6662" width="44.85546875" customWidth="1"/>
    <col min="6663" max="6664" width="14.140625" customWidth="1"/>
    <col min="6665" max="6665" width="13.85546875" customWidth="1"/>
    <col min="6666" max="6666" width="13.5703125" customWidth="1"/>
    <col min="6667" max="6667" width="11.7109375" customWidth="1"/>
    <col min="6668" max="6668" width="14" customWidth="1"/>
    <col min="6669" max="6669" width="16.28515625" customWidth="1"/>
    <col min="6670" max="6670" width="12.5703125" customWidth="1"/>
    <col min="6671" max="6671" width="13.28515625" customWidth="1"/>
    <col min="6672" max="6672" width="14.85546875" customWidth="1"/>
    <col min="6673" max="6673" width="18" customWidth="1"/>
    <col min="6674" max="6674" width="24" customWidth="1"/>
    <col min="6907" max="6907" width="7.42578125" customWidth="1"/>
    <col min="6908" max="6908" width="22.7109375" customWidth="1"/>
    <col min="6909" max="6909" width="14.140625" customWidth="1"/>
    <col min="6910" max="6910" width="13.140625" customWidth="1"/>
    <col min="6911" max="6911" width="8.140625" customWidth="1"/>
    <col min="6912" max="6912" width="10.85546875" customWidth="1"/>
    <col min="6913" max="6913" width="38.85546875" customWidth="1"/>
    <col min="6914" max="6914" width="25.5703125" customWidth="1"/>
    <col min="6918" max="6918" width="44.85546875" customWidth="1"/>
    <col min="6919" max="6920" width="14.140625" customWidth="1"/>
    <col min="6921" max="6921" width="13.85546875" customWidth="1"/>
    <col min="6922" max="6922" width="13.5703125" customWidth="1"/>
    <col min="6923" max="6923" width="11.7109375" customWidth="1"/>
    <col min="6924" max="6924" width="14" customWidth="1"/>
    <col min="6925" max="6925" width="16.28515625" customWidth="1"/>
    <col min="6926" max="6926" width="12.5703125" customWidth="1"/>
    <col min="6927" max="6927" width="13.28515625" customWidth="1"/>
    <col min="6928" max="6928" width="14.85546875" customWidth="1"/>
    <col min="6929" max="6929" width="18" customWidth="1"/>
    <col min="6930" max="6930" width="24" customWidth="1"/>
    <col min="7163" max="7163" width="7.42578125" customWidth="1"/>
    <col min="7164" max="7164" width="22.7109375" customWidth="1"/>
    <col min="7165" max="7165" width="14.140625" customWidth="1"/>
    <col min="7166" max="7166" width="13.140625" customWidth="1"/>
    <col min="7167" max="7167" width="8.140625" customWidth="1"/>
    <col min="7168" max="7168" width="10.85546875" customWidth="1"/>
    <col min="7169" max="7169" width="38.85546875" customWidth="1"/>
    <col min="7170" max="7170" width="25.5703125" customWidth="1"/>
    <col min="7174" max="7174" width="44.85546875" customWidth="1"/>
    <col min="7175" max="7176" width="14.140625" customWidth="1"/>
    <col min="7177" max="7177" width="13.85546875" customWidth="1"/>
    <col min="7178" max="7178" width="13.5703125" customWidth="1"/>
    <col min="7179" max="7179" width="11.7109375" customWidth="1"/>
    <col min="7180" max="7180" width="14" customWidth="1"/>
    <col min="7181" max="7181" width="16.28515625" customWidth="1"/>
    <col min="7182" max="7182" width="12.5703125" customWidth="1"/>
    <col min="7183" max="7183" width="13.28515625" customWidth="1"/>
    <col min="7184" max="7184" width="14.85546875" customWidth="1"/>
    <col min="7185" max="7185" width="18" customWidth="1"/>
    <col min="7186" max="7186" width="24" customWidth="1"/>
    <col min="7419" max="7419" width="7.42578125" customWidth="1"/>
    <col min="7420" max="7420" width="22.7109375" customWidth="1"/>
    <col min="7421" max="7421" width="14.140625" customWidth="1"/>
    <col min="7422" max="7422" width="13.140625" customWidth="1"/>
    <col min="7423" max="7423" width="8.140625" customWidth="1"/>
    <col min="7424" max="7424" width="10.85546875" customWidth="1"/>
    <col min="7425" max="7425" width="38.85546875" customWidth="1"/>
    <col min="7426" max="7426" width="25.5703125" customWidth="1"/>
    <col min="7430" max="7430" width="44.85546875" customWidth="1"/>
    <col min="7431" max="7432" width="14.140625" customWidth="1"/>
    <col min="7433" max="7433" width="13.85546875" customWidth="1"/>
    <col min="7434" max="7434" width="13.5703125" customWidth="1"/>
    <col min="7435" max="7435" width="11.7109375" customWidth="1"/>
    <col min="7436" max="7436" width="14" customWidth="1"/>
    <col min="7437" max="7437" width="16.28515625" customWidth="1"/>
    <col min="7438" max="7438" width="12.5703125" customWidth="1"/>
    <col min="7439" max="7439" width="13.28515625" customWidth="1"/>
    <col min="7440" max="7440" width="14.85546875" customWidth="1"/>
    <col min="7441" max="7441" width="18" customWidth="1"/>
    <col min="7442" max="7442" width="24" customWidth="1"/>
    <col min="7675" max="7675" width="7.42578125" customWidth="1"/>
    <col min="7676" max="7676" width="22.7109375" customWidth="1"/>
    <col min="7677" max="7677" width="14.140625" customWidth="1"/>
    <col min="7678" max="7678" width="13.140625" customWidth="1"/>
    <col min="7679" max="7679" width="8.140625" customWidth="1"/>
    <col min="7680" max="7680" width="10.85546875" customWidth="1"/>
    <col min="7681" max="7681" width="38.85546875" customWidth="1"/>
    <col min="7682" max="7682" width="25.5703125" customWidth="1"/>
    <col min="7686" max="7686" width="44.85546875" customWidth="1"/>
    <col min="7687" max="7688" width="14.140625" customWidth="1"/>
    <col min="7689" max="7689" width="13.85546875" customWidth="1"/>
    <col min="7690" max="7690" width="13.5703125" customWidth="1"/>
    <col min="7691" max="7691" width="11.7109375" customWidth="1"/>
    <col min="7692" max="7692" width="14" customWidth="1"/>
    <col min="7693" max="7693" width="16.28515625" customWidth="1"/>
    <col min="7694" max="7694" width="12.5703125" customWidth="1"/>
    <col min="7695" max="7695" width="13.28515625" customWidth="1"/>
    <col min="7696" max="7696" width="14.85546875" customWidth="1"/>
    <col min="7697" max="7697" width="18" customWidth="1"/>
    <col min="7698" max="7698" width="24" customWidth="1"/>
    <col min="7931" max="7931" width="7.42578125" customWidth="1"/>
    <col min="7932" max="7932" width="22.7109375" customWidth="1"/>
    <col min="7933" max="7933" width="14.140625" customWidth="1"/>
    <col min="7934" max="7934" width="13.140625" customWidth="1"/>
    <col min="7935" max="7935" width="8.140625" customWidth="1"/>
    <col min="7936" max="7936" width="10.85546875" customWidth="1"/>
    <col min="7937" max="7937" width="38.85546875" customWidth="1"/>
    <col min="7938" max="7938" width="25.5703125" customWidth="1"/>
    <col min="7942" max="7942" width="44.85546875" customWidth="1"/>
    <col min="7943" max="7944" width="14.140625" customWidth="1"/>
    <col min="7945" max="7945" width="13.85546875" customWidth="1"/>
    <col min="7946" max="7946" width="13.5703125" customWidth="1"/>
    <col min="7947" max="7947" width="11.7109375" customWidth="1"/>
    <col min="7948" max="7948" width="14" customWidth="1"/>
    <col min="7949" max="7949" width="16.28515625" customWidth="1"/>
    <col min="7950" max="7950" width="12.5703125" customWidth="1"/>
    <col min="7951" max="7951" width="13.28515625" customWidth="1"/>
    <col min="7952" max="7952" width="14.85546875" customWidth="1"/>
    <col min="7953" max="7953" width="18" customWidth="1"/>
    <col min="7954" max="7954" width="24" customWidth="1"/>
    <col min="8187" max="8187" width="7.42578125" customWidth="1"/>
    <col min="8188" max="8188" width="22.7109375" customWidth="1"/>
    <col min="8189" max="8189" width="14.140625" customWidth="1"/>
    <col min="8190" max="8190" width="13.140625" customWidth="1"/>
    <col min="8191" max="8191" width="8.140625" customWidth="1"/>
    <col min="8192" max="8192" width="10.85546875" customWidth="1"/>
    <col min="8193" max="8193" width="38.85546875" customWidth="1"/>
    <col min="8194" max="8194" width="25.5703125" customWidth="1"/>
    <col min="8198" max="8198" width="44.85546875" customWidth="1"/>
    <col min="8199" max="8200" width="14.140625" customWidth="1"/>
    <col min="8201" max="8201" width="13.85546875" customWidth="1"/>
    <col min="8202" max="8202" width="13.5703125" customWidth="1"/>
    <col min="8203" max="8203" width="11.7109375" customWidth="1"/>
    <col min="8204" max="8204" width="14" customWidth="1"/>
    <col min="8205" max="8205" width="16.28515625" customWidth="1"/>
    <col min="8206" max="8206" width="12.5703125" customWidth="1"/>
    <col min="8207" max="8207" width="13.28515625" customWidth="1"/>
    <col min="8208" max="8208" width="14.85546875" customWidth="1"/>
    <col min="8209" max="8209" width="18" customWidth="1"/>
    <col min="8210" max="8210" width="24" customWidth="1"/>
    <col min="8443" max="8443" width="7.42578125" customWidth="1"/>
    <col min="8444" max="8444" width="22.7109375" customWidth="1"/>
    <col min="8445" max="8445" width="14.140625" customWidth="1"/>
    <col min="8446" max="8446" width="13.140625" customWidth="1"/>
    <col min="8447" max="8447" width="8.140625" customWidth="1"/>
    <col min="8448" max="8448" width="10.85546875" customWidth="1"/>
    <col min="8449" max="8449" width="38.85546875" customWidth="1"/>
    <col min="8450" max="8450" width="25.5703125" customWidth="1"/>
    <col min="8454" max="8454" width="44.85546875" customWidth="1"/>
    <col min="8455" max="8456" width="14.140625" customWidth="1"/>
    <col min="8457" max="8457" width="13.85546875" customWidth="1"/>
    <col min="8458" max="8458" width="13.5703125" customWidth="1"/>
    <col min="8459" max="8459" width="11.7109375" customWidth="1"/>
    <col min="8460" max="8460" width="14" customWidth="1"/>
    <col min="8461" max="8461" width="16.28515625" customWidth="1"/>
    <col min="8462" max="8462" width="12.5703125" customWidth="1"/>
    <col min="8463" max="8463" width="13.28515625" customWidth="1"/>
    <col min="8464" max="8464" width="14.85546875" customWidth="1"/>
    <col min="8465" max="8465" width="18" customWidth="1"/>
    <col min="8466" max="8466" width="24" customWidth="1"/>
    <col min="8699" max="8699" width="7.42578125" customWidth="1"/>
    <col min="8700" max="8700" width="22.7109375" customWidth="1"/>
    <col min="8701" max="8701" width="14.140625" customWidth="1"/>
    <col min="8702" max="8702" width="13.140625" customWidth="1"/>
    <col min="8703" max="8703" width="8.140625" customWidth="1"/>
    <col min="8704" max="8704" width="10.85546875" customWidth="1"/>
    <col min="8705" max="8705" width="38.85546875" customWidth="1"/>
    <col min="8706" max="8706" width="25.5703125" customWidth="1"/>
    <col min="8710" max="8710" width="44.85546875" customWidth="1"/>
    <col min="8711" max="8712" width="14.140625" customWidth="1"/>
    <col min="8713" max="8713" width="13.85546875" customWidth="1"/>
    <col min="8714" max="8714" width="13.5703125" customWidth="1"/>
    <col min="8715" max="8715" width="11.7109375" customWidth="1"/>
    <col min="8716" max="8716" width="14" customWidth="1"/>
    <col min="8717" max="8717" width="16.28515625" customWidth="1"/>
    <col min="8718" max="8718" width="12.5703125" customWidth="1"/>
    <col min="8719" max="8719" width="13.28515625" customWidth="1"/>
    <col min="8720" max="8720" width="14.85546875" customWidth="1"/>
    <col min="8721" max="8721" width="18" customWidth="1"/>
    <col min="8722" max="8722" width="24" customWidth="1"/>
    <col min="8955" max="8955" width="7.42578125" customWidth="1"/>
    <col min="8956" max="8956" width="22.7109375" customWidth="1"/>
    <col min="8957" max="8957" width="14.140625" customWidth="1"/>
    <col min="8958" max="8958" width="13.140625" customWidth="1"/>
    <col min="8959" max="8959" width="8.140625" customWidth="1"/>
    <col min="8960" max="8960" width="10.85546875" customWidth="1"/>
    <col min="8961" max="8961" width="38.85546875" customWidth="1"/>
    <col min="8962" max="8962" width="25.5703125" customWidth="1"/>
    <col min="8966" max="8966" width="44.85546875" customWidth="1"/>
    <col min="8967" max="8968" width="14.140625" customWidth="1"/>
    <col min="8969" max="8969" width="13.85546875" customWidth="1"/>
    <col min="8970" max="8970" width="13.5703125" customWidth="1"/>
    <col min="8971" max="8971" width="11.7109375" customWidth="1"/>
    <col min="8972" max="8972" width="14" customWidth="1"/>
    <col min="8973" max="8973" width="16.28515625" customWidth="1"/>
    <col min="8974" max="8974" width="12.5703125" customWidth="1"/>
    <col min="8975" max="8975" width="13.28515625" customWidth="1"/>
    <col min="8976" max="8976" width="14.85546875" customWidth="1"/>
    <col min="8977" max="8977" width="18" customWidth="1"/>
    <col min="8978" max="8978" width="24" customWidth="1"/>
    <col min="9211" max="9211" width="7.42578125" customWidth="1"/>
    <col min="9212" max="9212" width="22.7109375" customWidth="1"/>
    <col min="9213" max="9213" width="14.140625" customWidth="1"/>
    <col min="9214" max="9214" width="13.140625" customWidth="1"/>
    <col min="9215" max="9215" width="8.140625" customWidth="1"/>
    <col min="9216" max="9216" width="10.85546875" customWidth="1"/>
    <col min="9217" max="9217" width="38.85546875" customWidth="1"/>
    <col min="9218" max="9218" width="25.5703125" customWidth="1"/>
    <col min="9222" max="9222" width="44.85546875" customWidth="1"/>
    <col min="9223" max="9224" width="14.140625" customWidth="1"/>
    <col min="9225" max="9225" width="13.85546875" customWidth="1"/>
    <col min="9226" max="9226" width="13.5703125" customWidth="1"/>
    <col min="9227" max="9227" width="11.7109375" customWidth="1"/>
    <col min="9228" max="9228" width="14" customWidth="1"/>
    <col min="9229" max="9229" width="16.28515625" customWidth="1"/>
    <col min="9230" max="9230" width="12.5703125" customWidth="1"/>
    <col min="9231" max="9231" width="13.28515625" customWidth="1"/>
    <col min="9232" max="9232" width="14.85546875" customWidth="1"/>
    <col min="9233" max="9233" width="18" customWidth="1"/>
    <col min="9234" max="9234" width="24" customWidth="1"/>
    <col min="9467" max="9467" width="7.42578125" customWidth="1"/>
    <col min="9468" max="9468" width="22.7109375" customWidth="1"/>
    <col min="9469" max="9469" width="14.140625" customWidth="1"/>
    <col min="9470" max="9470" width="13.140625" customWidth="1"/>
    <col min="9471" max="9471" width="8.140625" customWidth="1"/>
    <col min="9472" max="9472" width="10.85546875" customWidth="1"/>
    <col min="9473" max="9473" width="38.85546875" customWidth="1"/>
    <col min="9474" max="9474" width="25.5703125" customWidth="1"/>
    <col min="9478" max="9478" width="44.85546875" customWidth="1"/>
    <col min="9479" max="9480" width="14.140625" customWidth="1"/>
    <col min="9481" max="9481" width="13.85546875" customWidth="1"/>
    <col min="9482" max="9482" width="13.5703125" customWidth="1"/>
    <col min="9483" max="9483" width="11.7109375" customWidth="1"/>
    <col min="9484" max="9484" width="14" customWidth="1"/>
    <col min="9485" max="9485" width="16.28515625" customWidth="1"/>
    <col min="9486" max="9486" width="12.5703125" customWidth="1"/>
    <col min="9487" max="9487" width="13.28515625" customWidth="1"/>
    <col min="9488" max="9488" width="14.85546875" customWidth="1"/>
    <col min="9489" max="9489" width="18" customWidth="1"/>
    <col min="9490" max="9490" width="24" customWidth="1"/>
    <col min="9723" max="9723" width="7.42578125" customWidth="1"/>
    <col min="9724" max="9724" width="22.7109375" customWidth="1"/>
    <col min="9725" max="9725" width="14.140625" customWidth="1"/>
    <col min="9726" max="9726" width="13.140625" customWidth="1"/>
    <col min="9727" max="9727" width="8.140625" customWidth="1"/>
    <col min="9728" max="9728" width="10.85546875" customWidth="1"/>
    <col min="9729" max="9729" width="38.85546875" customWidth="1"/>
    <col min="9730" max="9730" width="25.5703125" customWidth="1"/>
    <col min="9734" max="9734" width="44.85546875" customWidth="1"/>
    <col min="9735" max="9736" width="14.140625" customWidth="1"/>
    <col min="9737" max="9737" width="13.85546875" customWidth="1"/>
    <col min="9738" max="9738" width="13.5703125" customWidth="1"/>
    <col min="9739" max="9739" width="11.7109375" customWidth="1"/>
    <col min="9740" max="9740" width="14" customWidth="1"/>
    <col min="9741" max="9741" width="16.28515625" customWidth="1"/>
    <col min="9742" max="9742" width="12.5703125" customWidth="1"/>
    <col min="9743" max="9743" width="13.28515625" customWidth="1"/>
    <col min="9744" max="9744" width="14.85546875" customWidth="1"/>
    <col min="9745" max="9745" width="18" customWidth="1"/>
    <col min="9746" max="9746" width="24" customWidth="1"/>
    <col min="9979" max="9979" width="7.42578125" customWidth="1"/>
    <col min="9980" max="9980" width="22.7109375" customWidth="1"/>
    <col min="9981" max="9981" width="14.140625" customWidth="1"/>
    <col min="9982" max="9982" width="13.140625" customWidth="1"/>
    <col min="9983" max="9983" width="8.140625" customWidth="1"/>
    <col min="9984" max="9984" width="10.85546875" customWidth="1"/>
    <col min="9985" max="9985" width="38.85546875" customWidth="1"/>
    <col min="9986" max="9986" width="25.5703125" customWidth="1"/>
    <col min="9990" max="9990" width="44.85546875" customWidth="1"/>
    <col min="9991" max="9992" width="14.140625" customWidth="1"/>
    <col min="9993" max="9993" width="13.85546875" customWidth="1"/>
    <col min="9994" max="9994" width="13.5703125" customWidth="1"/>
    <col min="9995" max="9995" width="11.7109375" customWidth="1"/>
    <col min="9996" max="9996" width="14" customWidth="1"/>
    <col min="9997" max="9997" width="16.28515625" customWidth="1"/>
    <col min="9998" max="9998" width="12.5703125" customWidth="1"/>
    <col min="9999" max="9999" width="13.28515625" customWidth="1"/>
    <col min="10000" max="10000" width="14.85546875" customWidth="1"/>
    <col min="10001" max="10001" width="18" customWidth="1"/>
    <col min="10002" max="10002" width="24" customWidth="1"/>
    <col min="10235" max="10235" width="7.42578125" customWidth="1"/>
    <col min="10236" max="10236" width="22.7109375" customWidth="1"/>
    <col min="10237" max="10237" width="14.140625" customWidth="1"/>
    <col min="10238" max="10238" width="13.140625" customWidth="1"/>
    <col min="10239" max="10239" width="8.140625" customWidth="1"/>
    <col min="10240" max="10240" width="10.85546875" customWidth="1"/>
    <col min="10241" max="10241" width="38.85546875" customWidth="1"/>
    <col min="10242" max="10242" width="25.5703125" customWidth="1"/>
    <col min="10246" max="10246" width="44.85546875" customWidth="1"/>
    <col min="10247" max="10248" width="14.140625" customWidth="1"/>
    <col min="10249" max="10249" width="13.85546875" customWidth="1"/>
    <col min="10250" max="10250" width="13.5703125" customWidth="1"/>
    <col min="10251" max="10251" width="11.7109375" customWidth="1"/>
    <col min="10252" max="10252" width="14" customWidth="1"/>
    <col min="10253" max="10253" width="16.28515625" customWidth="1"/>
    <col min="10254" max="10254" width="12.5703125" customWidth="1"/>
    <col min="10255" max="10255" width="13.28515625" customWidth="1"/>
    <col min="10256" max="10256" width="14.85546875" customWidth="1"/>
    <col min="10257" max="10257" width="18" customWidth="1"/>
    <col min="10258" max="10258" width="24" customWidth="1"/>
    <col min="10491" max="10491" width="7.42578125" customWidth="1"/>
    <col min="10492" max="10492" width="22.7109375" customWidth="1"/>
    <col min="10493" max="10493" width="14.140625" customWidth="1"/>
    <col min="10494" max="10494" width="13.140625" customWidth="1"/>
    <col min="10495" max="10495" width="8.140625" customWidth="1"/>
    <col min="10496" max="10496" width="10.85546875" customWidth="1"/>
    <col min="10497" max="10497" width="38.85546875" customWidth="1"/>
    <col min="10498" max="10498" width="25.5703125" customWidth="1"/>
    <col min="10502" max="10502" width="44.85546875" customWidth="1"/>
    <col min="10503" max="10504" width="14.140625" customWidth="1"/>
    <col min="10505" max="10505" width="13.85546875" customWidth="1"/>
    <col min="10506" max="10506" width="13.5703125" customWidth="1"/>
    <col min="10507" max="10507" width="11.7109375" customWidth="1"/>
    <col min="10508" max="10508" width="14" customWidth="1"/>
    <col min="10509" max="10509" width="16.28515625" customWidth="1"/>
    <col min="10510" max="10510" width="12.5703125" customWidth="1"/>
    <col min="10511" max="10511" width="13.28515625" customWidth="1"/>
    <col min="10512" max="10512" width="14.85546875" customWidth="1"/>
    <col min="10513" max="10513" width="18" customWidth="1"/>
    <col min="10514" max="10514" width="24" customWidth="1"/>
    <col min="10747" max="10747" width="7.42578125" customWidth="1"/>
    <col min="10748" max="10748" width="22.7109375" customWidth="1"/>
    <col min="10749" max="10749" width="14.140625" customWidth="1"/>
    <col min="10750" max="10750" width="13.140625" customWidth="1"/>
    <col min="10751" max="10751" width="8.140625" customWidth="1"/>
    <col min="10752" max="10752" width="10.85546875" customWidth="1"/>
    <col min="10753" max="10753" width="38.85546875" customWidth="1"/>
    <col min="10754" max="10754" width="25.5703125" customWidth="1"/>
    <col min="10758" max="10758" width="44.85546875" customWidth="1"/>
    <col min="10759" max="10760" width="14.140625" customWidth="1"/>
    <col min="10761" max="10761" width="13.85546875" customWidth="1"/>
    <col min="10762" max="10762" width="13.5703125" customWidth="1"/>
    <col min="10763" max="10763" width="11.7109375" customWidth="1"/>
    <col min="10764" max="10764" width="14" customWidth="1"/>
    <col min="10765" max="10765" width="16.28515625" customWidth="1"/>
    <col min="10766" max="10766" width="12.5703125" customWidth="1"/>
    <col min="10767" max="10767" width="13.28515625" customWidth="1"/>
    <col min="10768" max="10768" width="14.85546875" customWidth="1"/>
    <col min="10769" max="10769" width="18" customWidth="1"/>
    <col min="10770" max="10770" width="24" customWidth="1"/>
    <col min="11003" max="11003" width="7.42578125" customWidth="1"/>
    <col min="11004" max="11004" width="22.7109375" customWidth="1"/>
    <col min="11005" max="11005" width="14.140625" customWidth="1"/>
    <col min="11006" max="11006" width="13.140625" customWidth="1"/>
    <col min="11007" max="11007" width="8.140625" customWidth="1"/>
    <col min="11008" max="11008" width="10.85546875" customWidth="1"/>
    <col min="11009" max="11009" width="38.85546875" customWidth="1"/>
    <col min="11010" max="11010" width="25.5703125" customWidth="1"/>
    <col min="11014" max="11014" width="44.85546875" customWidth="1"/>
    <col min="11015" max="11016" width="14.140625" customWidth="1"/>
    <col min="11017" max="11017" width="13.85546875" customWidth="1"/>
    <col min="11018" max="11018" width="13.5703125" customWidth="1"/>
    <col min="11019" max="11019" width="11.7109375" customWidth="1"/>
    <col min="11020" max="11020" width="14" customWidth="1"/>
    <col min="11021" max="11021" width="16.28515625" customWidth="1"/>
    <col min="11022" max="11022" width="12.5703125" customWidth="1"/>
    <col min="11023" max="11023" width="13.28515625" customWidth="1"/>
    <col min="11024" max="11024" width="14.85546875" customWidth="1"/>
    <col min="11025" max="11025" width="18" customWidth="1"/>
    <col min="11026" max="11026" width="24" customWidth="1"/>
    <col min="11259" max="11259" width="7.42578125" customWidth="1"/>
    <col min="11260" max="11260" width="22.7109375" customWidth="1"/>
    <col min="11261" max="11261" width="14.140625" customWidth="1"/>
    <col min="11262" max="11262" width="13.140625" customWidth="1"/>
    <col min="11263" max="11263" width="8.140625" customWidth="1"/>
    <col min="11264" max="11264" width="10.85546875" customWidth="1"/>
    <col min="11265" max="11265" width="38.85546875" customWidth="1"/>
    <col min="11266" max="11266" width="25.5703125" customWidth="1"/>
    <col min="11270" max="11270" width="44.85546875" customWidth="1"/>
    <col min="11271" max="11272" width="14.140625" customWidth="1"/>
    <col min="11273" max="11273" width="13.85546875" customWidth="1"/>
    <col min="11274" max="11274" width="13.5703125" customWidth="1"/>
    <col min="11275" max="11275" width="11.7109375" customWidth="1"/>
    <col min="11276" max="11276" width="14" customWidth="1"/>
    <col min="11277" max="11277" width="16.28515625" customWidth="1"/>
    <col min="11278" max="11278" width="12.5703125" customWidth="1"/>
    <col min="11279" max="11279" width="13.28515625" customWidth="1"/>
    <col min="11280" max="11280" width="14.85546875" customWidth="1"/>
    <col min="11281" max="11281" width="18" customWidth="1"/>
    <col min="11282" max="11282" width="24" customWidth="1"/>
    <col min="11515" max="11515" width="7.42578125" customWidth="1"/>
    <col min="11516" max="11516" width="22.7109375" customWidth="1"/>
    <col min="11517" max="11517" width="14.140625" customWidth="1"/>
    <col min="11518" max="11518" width="13.140625" customWidth="1"/>
    <col min="11519" max="11519" width="8.140625" customWidth="1"/>
    <col min="11520" max="11520" width="10.85546875" customWidth="1"/>
    <col min="11521" max="11521" width="38.85546875" customWidth="1"/>
    <col min="11522" max="11522" width="25.5703125" customWidth="1"/>
    <col min="11526" max="11526" width="44.85546875" customWidth="1"/>
    <col min="11527" max="11528" width="14.140625" customWidth="1"/>
    <col min="11529" max="11529" width="13.85546875" customWidth="1"/>
    <col min="11530" max="11530" width="13.5703125" customWidth="1"/>
    <col min="11531" max="11531" width="11.7109375" customWidth="1"/>
    <col min="11532" max="11532" width="14" customWidth="1"/>
    <col min="11533" max="11533" width="16.28515625" customWidth="1"/>
    <col min="11534" max="11534" width="12.5703125" customWidth="1"/>
    <col min="11535" max="11535" width="13.28515625" customWidth="1"/>
    <col min="11536" max="11536" width="14.85546875" customWidth="1"/>
    <col min="11537" max="11537" width="18" customWidth="1"/>
    <col min="11538" max="11538" width="24" customWidth="1"/>
    <col min="11771" max="11771" width="7.42578125" customWidth="1"/>
    <col min="11772" max="11772" width="22.7109375" customWidth="1"/>
    <col min="11773" max="11773" width="14.140625" customWidth="1"/>
    <col min="11774" max="11774" width="13.140625" customWidth="1"/>
    <col min="11775" max="11775" width="8.140625" customWidth="1"/>
    <col min="11776" max="11776" width="10.85546875" customWidth="1"/>
    <col min="11777" max="11777" width="38.85546875" customWidth="1"/>
    <col min="11778" max="11778" width="25.5703125" customWidth="1"/>
    <col min="11782" max="11782" width="44.85546875" customWidth="1"/>
    <col min="11783" max="11784" width="14.140625" customWidth="1"/>
    <col min="11785" max="11785" width="13.85546875" customWidth="1"/>
    <col min="11786" max="11786" width="13.5703125" customWidth="1"/>
    <col min="11787" max="11787" width="11.7109375" customWidth="1"/>
    <col min="11788" max="11788" width="14" customWidth="1"/>
    <col min="11789" max="11789" width="16.28515625" customWidth="1"/>
    <col min="11790" max="11790" width="12.5703125" customWidth="1"/>
    <col min="11791" max="11791" width="13.28515625" customWidth="1"/>
    <col min="11792" max="11792" width="14.85546875" customWidth="1"/>
    <col min="11793" max="11793" width="18" customWidth="1"/>
    <col min="11794" max="11794" width="24" customWidth="1"/>
    <col min="12027" max="12027" width="7.42578125" customWidth="1"/>
    <col min="12028" max="12028" width="22.7109375" customWidth="1"/>
    <col min="12029" max="12029" width="14.140625" customWidth="1"/>
    <col min="12030" max="12030" width="13.140625" customWidth="1"/>
    <col min="12031" max="12031" width="8.140625" customWidth="1"/>
    <col min="12032" max="12032" width="10.85546875" customWidth="1"/>
    <col min="12033" max="12033" width="38.85546875" customWidth="1"/>
    <col min="12034" max="12034" width="25.5703125" customWidth="1"/>
    <col min="12038" max="12038" width="44.85546875" customWidth="1"/>
    <col min="12039" max="12040" width="14.140625" customWidth="1"/>
    <col min="12041" max="12041" width="13.85546875" customWidth="1"/>
    <col min="12042" max="12042" width="13.5703125" customWidth="1"/>
    <col min="12043" max="12043" width="11.7109375" customWidth="1"/>
    <col min="12044" max="12044" width="14" customWidth="1"/>
    <col min="12045" max="12045" width="16.28515625" customWidth="1"/>
    <col min="12046" max="12046" width="12.5703125" customWidth="1"/>
    <col min="12047" max="12047" width="13.28515625" customWidth="1"/>
    <col min="12048" max="12048" width="14.85546875" customWidth="1"/>
    <col min="12049" max="12049" width="18" customWidth="1"/>
    <col min="12050" max="12050" width="24" customWidth="1"/>
    <col min="12283" max="12283" width="7.42578125" customWidth="1"/>
    <col min="12284" max="12284" width="22.7109375" customWidth="1"/>
    <col min="12285" max="12285" width="14.140625" customWidth="1"/>
    <col min="12286" max="12286" width="13.140625" customWidth="1"/>
    <col min="12287" max="12287" width="8.140625" customWidth="1"/>
    <col min="12288" max="12288" width="10.85546875" customWidth="1"/>
    <col min="12289" max="12289" width="38.85546875" customWidth="1"/>
    <col min="12290" max="12290" width="25.5703125" customWidth="1"/>
    <col min="12294" max="12294" width="44.85546875" customWidth="1"/>
    <col min="12295" max="12296" width="14.140625" customWidth="1"/>
    <col min="12297" max="12297" width="13.85546875" customWidth="1"/>
    <col min="12298" max="12298" width="13.5703125" customWidth="1"/>
    <col min="12299" max="12299" width="11.7109375" customWidth="1"/>
    <col min="12300" max="12300" width="14" customWidth="1"/>
    <col min="12301" max="12301" width="16.28515625" customWidth="1"/>
    <col min="12302" max="12302" width="12.5703125" customWidth="1"/>
    <col min="12303" max="12303" width="13.28515625" customWidth="1"/>
    <col min="12304" max="12304" width="14.85546875" customWidth="1"/>
    <col min="12305" max="12305" width="18" customWidth="1"/>
    <col min="12306" max="12306" width="24" customWidth="1"/>
    <col min="12539" max="12539" width="7.42578125" customWidth="1"/>
    <col min="12540" max="12540" width="22.7109375" customWidth="1"/>
    <col min="12541" max="12541" width="14.140625" customWidth="1"/>
    <col min="12542" max="12542" width="13.140625" customWidth="1"/>
    <col min="12543" max="12543" width="8.140625" customWidth="1"/>
    <col min="12544" max="12544" width="10.85546875" customWidth="1"/>
    <col min="12545" max="12545" width="38.85546875" customWidth="1"/>
    <col min="12546" max="12546" width="25.5703125" customWidth="1"/>
    <col min="12550" max="12550" width="44.85546875" customWidth="1"/>
    <col min="12551" max="12552" width="14.140625" customWidth="1"/>
    <col min="12553" max="12553" width="13.85546875" customWidth="1"/>
    <col min="12554" max="12554" width="13.5703125" customWidth="1"/>
    <col min="12555" max="12555" width="11.7109375" customWidth="1"/>
    <col min="12556" max="12556" width="14" customWidth="1"/>
    <col min="12557" max="12557" width="16.28515625" customWidth="1"/>
    <col min="12558" max="12558" width="12.5703125" customWidth="1"/>
    <col min="12559" max="12559" width="13.28515625" customWidth="1"/>
    <col min="12560" max="12560" width="14.85546875" customWidth="1"/>
    <col min="12561" max="12561" width="18" customWidth="1"/>
    <col min="12562" max="12562" width="24" customWidth="1"/>
    <col min="12795" max="12795" width="7.42578125" customWidth="1"/>
    <col min="12796" max="12796" width="22.7109375" customWidth="1"/>
    <col min="12797" max="12797" width="14.140625" customWidth="1"/>
    <col min="12798" max="12798" width="13.140625" customWidth="1"/>
    <col min="12799" max="12799" width="8.140625" customWidth="1"/>
    <col min="12800" max="12800" width="10.85546875" customWidth="1"/>
    <col min="12801" max="12801" width="38.85546875" customWidth="1"/>
    <col min="12802" max="12802" width="25.5703125" customWidth="1"/>
    <col min="12806" max="12806" width="44.85546875" customWidth="1"/>
    <col min="12807" max="12808" width="14.140625" customWidth="1"/>
    <col min="12809" max="12809" width="13.85546875" customWidth="1"/>
    <col min="12810" max="12810" width="13.5703125" customWidth="1"/>
    <col min="12811" max="12811" width="11.7109375" customWidth="1"/>
    <col min="12812" max="12812" width="14" customWidth="1"/>
    <col min="12813" max="12813" width="16.28515625" customWidth="1"/>
    <col min="12814" max="12814" width="12.5703125" customWidth="1"/>
    <col min="12815" max="12815" width="13.28515625" customWidth="1"/>
    <col min="12816" max="12816" width="14.85546875" customWidth="1"/>
    <col min="12817" max="12817" width="18" customWidth="1"/>
    <col min="12818" max="12818" width="24" customWidth="1"/>
    <col min="13051" max="13051" width="7.42578125" customWidth="1"/>
    <col min="13052" max="13052" width="22.7109375" customWidth="1"/>
    <col min="13053" max="13053" width="14.140625" customWidth="1"/>
    <col min="13054" max="13054" width="13.140625" customWidth="1"/>
    <col min="13055" max="13055" width="8.140625" customWidth="1"/>
    <col min="13056" max="13056" width="10.85546875" customWidth="1"/>
    <col min="13057" max="13057" width="38.85546875" customWidth="1"/>
    <col min="13058" max="13058" width="25.5703125" customWidth="1"/>
    <col min="13062" max="13062" width="44.85546875" customWidth="1"/>
    <col min="13063" max="13064" width="14.140625" customWidth="1"/>
    <col min="13065" max="13065" width="13.85546875" customWidth="1"/>
    <col min="13066" max="13066" width="13.5703125" customWidth="1"/>
    <col min="13067" max="13067" width="11.7109375" customWidth="1"/>
    <col min="13068" max="13068" width="14" customWidth="1"/>
    <col min="13069" max="13069" width="16.28515625" customWidth="1"/>
    <col min="13070" max="13070" width="12.5703125" customWidth="1"/>
    <col min="13071" max="13071" width="13.28515625" customWidth="1"/>
    <col min="13072" max="13072" width="14.85546875" customWidth="1"/>
    <col min="13073" max="13073" width="18" customWidth="1"/>
    <col min="13074" max="13074" width="24" customWidth="1"/>
    <col min="13307" max="13307" width="7.42578125" customWidth="1"/>
    <col min="13308" max="13308" width="22.7109375" customWidth="1"/>
    <col min="13309" max="13309" width="14.140625" customWidth="1"/>
    <col min="13310" max="13310" width="13.140625" customWidth="1"/>
    <col min="13311" max="13311" width="8.140625" customWidth="1"/>
    <col min="13312" max="13312" width="10.85546875" customWidth="1"/>
    <col min="13313" max="13313" width="38.85546875" customWidth="1"/>
    <col min="13314" max="13314" width="25.5703125" customWidth="1"/>
    <col min="13318" max="13318" width="44.85546875" customWidth="1"/>
    <col min="13319" max="13320" width="14.140625" customWidth="1"/>
    <col min="13321" max="13321" width="13.85546875" customWidth="1"/>
    <col min="13322" max="13322" width="13.5703125" customWidth="1"/>
    <col min="13323" max="13323" width="11.7109375" customWidth="1"/>
    <col min="13324" max="13324" width="14" customWidth="1"/>
    <col min="13325" max="13325" width="16.28515625" customWidth="1"/>
    <col min="13326" max="13326" width="12.5703125" customWidth="1"/>
    <col min="13327" max="13327" width="13.28515625" customWidth="1"/>
    <col min="13328" max="13328" width="14.85546875" customWidth="1"/>
    <col min="13329" max="13329" width="18" customWidth="1"/>
    <col min="13330" max="13330" width="24" customWidth="1"/>
    <col min="13563" max="13563" width="7.42578125" customWidth="1"/>
    <col min="13564" max="13564" width="22.7109375" customWidth="1"/>
    <col min="13565" max="13565" width="14.140625" customWidth="1"/>
    <col min="13566" max="13566" width="13.140625" customWidth="1"/>
    <col min="13567" max="13567" width="8.140625" customWidth="1"/>
    <col min="13568" max="13568" width="10.85546875" customWidth="1"/>
    <col min="13569" max="13569" width="38.85546875" customWidth="1"/>
    <col min="13570" max="13570" width="25.5703125" customWidth="1"/>
    <col min="13574" max="13574" width="44.85546875" customWidth="1"/>
    <col min="13575" max="13576" width="14.140625" customWidth="1"/>
    <col min="13577" max="13577" width="13.85546875" customWidth="1"/>
    <col min="13578" max="13578" width="13.5703125" customWidth="1"/>
    <col min="13579" max="13579" width="11.7109375" customWidth="1"/>
    <col min="13580" max="13580" width="14" customWidth="1"/>
    <col min="13581" max="13581" width="16.28515625" customWidth="1"/>
    <col min="13582" max="13582" width="12.5703125" customWidth="1"/>
    <col min="13583" max="13583" width="13.28515625" customWidth="1"/>
    <col min="13584" max="13584" width="14.85546875" customWidth="1"/>
    <col min="13585" max="13585" width="18" customWidth="1"/>
    <col min="13586" max="13586" width="24" customWidth="1"/>
    <col min="13819" max="13819" width="7.42578125" customWidth="1"/>
    <col min="13820" max="13820" width="22.7109375" customWidth="1"/>
    <col min="13821" max="13821" width="14.140625" customWidth="1"/>
    <col min="13822" max="13822" width="13.140625" customWidth="1"/>
    <col min="13823" max="13823" width="8.140625" customWidth="1"/>
    <col min="13824" max="13824" width="10.85546875" customWidth="1"/>
    <col min="13825" max="13825" width="38.85546875" customWidth="1"/>
    <col min="13826" max="13826" width="25.5703125" customWidth="1"/>
    <col min="13830" max="13830" width="44.85546875" customWidth="1"/>
    <col min="13831" max="13832" width="14.140625" customWidth="1"/>
    <col min="13833" max="13833" width="13.85546875" customWidth="1"/>
    <col min="13834" max="13834" width="13.5703125" customWidth="1"/>
    <col min="13835" max="13835" width="11.7109375" customWidth="1"/>
    <col min="13836" max="13836" width="14" customWidth="1"/>
    <col min="13837" max="13837" width="16.28515625" customWidth="1"/>
    <col min="13838" max="13838" width="12.5703125" customWidth="1"/>
    <col min="13839" max="13839" width="13.28515625" customWidth="1"/>
    <col min="13840" max="13840" width="14.85546875" customWidth="1"/>
    <col min="13841" max="13841" width="18" customWidth="1"/>
    <col min="13842" max="13842" width="24" customWidth="1"/>
    <col min="14075" max="14075" width="7.42578125" customWidth="1"/>
    <col min="14076" max="14076" width="22.7109375" customWidth="1"/>
    <col min="14077" max="14077" width="14.140625" customWidth="1"/>
    <col min="14078" max="14078" width="13.140625" customWidth="1"/>
    <col min="14079" max="14079" width="8.140625" customWidth="1"/>
    <col min="14080" max="14080" width="10.85546875" customWidth="1"/>
    <col min="14081" max="14081" width="38.85546875" customWidth="1"/>
    <col min="14082" max="14082" width="25.5703125" customWidth="1"/>
    <col min="14086" max="14086" width="44.85546875" customWidth="1"/>
    <col min="14087" max="14088" width="14.140625" customWidth="1"/>
    <col min="14089" max="14089" width="13.85546875" customWidth="1"/>
    <col min="14090" max="14090" width="13.5703125" customWidth="1"/>
    <col min="14091" max="14091" width="11.7109375" customWidth="1"/>
    <col min="14092" max="14092" width="14" customWidth="1"/>
    <col min="14093" max="14093" width="16.28515625" customWidth="1"/>
    <col min="14094" max="14094" width="12.5703125" customWidth="1"/>
    <col min="14095" max="14095" width="13.28515625" customWidth="1"/>
    <col min="14096" max="14096" width="14.85546875" customWidth="1"/>
    <col min="14097" max="14097" width="18" customWidth="1"/>
    <col min="14098" max="14098" width="24" customWidth="1"/>
    <col min="14331" max="14331" width="7.42578125" customWidth="1"/>
    <col min="14332" max="14332" width="22.7109375" customWidth="1"/>
    <col min="14333" max="14333" width="14.140625" customWidth="1"/>
    <col min="14334" max="14334" width="13.140625" customWidth="1"/>
    <col min="14335" max="14335" width="8.140625" customWidth="1"/>
    <col min="14336" max="14336" width="10.85546875" customWidth="1"/>
    <col min="14337" max="14337" width="38.85546875" customWidth="1"/>
    <col min="14338" max="14338" width="25.5703125" customWidth="1"/>
    <col min="14342" max="14342" width="44.85546875" customWidth="1"/>
    <col min="14343" max="14344" width="14.140625" customWidth="1"/>
    <col min="14345" max="14345" width="13.85546875" customWidth="1"/>
    <col min="14346" max="14346" width="13.5703125" customWidth="1"/>
    <col min="14347" max="14347" width="11.7109375" customWidth="1"/>
    <col min="14348" max="14348" width="14" customWidth="1"/>
    <col min="14349" max="14349" width="16.28515625" customWidth="1"/>
    <col min="14350" max="14350" width="12.5703125" customWidth="1"/>
    <col min="14351" max="14351" width="13.28515625" customWidth="1"/>
    <col min="14352" max="14352" width="14.85546875" customWidth="1"/>
    <col min="14353" max="14353" width="18" customWidth="1"/>
    <col min="14354" max="14354" width="24" customWidth="1"/>
    <col min="14587" max="14587" width="7.42578125" customWidth="1"/>
    <col min="14588" max="14588" width="22.7109375" customWidth="1"/>
    <col min="14589" max="14589" width="14.140625" customWidth="1"/>
    <col min="14590" max="14590" width="13.140625" customWidth="1"/>
    <col min="14591" max="14591" width="8.140625" customWidth="1"/>
    <col min="14592" max="14592" width="10.85546875" customWidth="1"/>
    <col min="14593" max="14593" width="38.85546875" customWidth="1"/>
    <col min="14594" max="14594" width="25.5703125" customWidth="1"/>
    <col min="14598" max="14598" width="44.85546875" customWidth="1"/>
    <col min="14599" max="14600" width="14.140625" customWidth="1"/>
    <col min="14601" max="14601" width="13.85546875" customWidth="1"/>
    <col min="14602" max="14602" width="13.5703125" customWidth="1"/>
    <col min="14603" max="14603" width="11.7109375" customWidth="1"/>
    <col min="14604" max="14604" width="14" customWidth="1"/>
    <col min="14605" max="14605" width="16.28515625" customWidth="1"/>
    <col min="14606" max="14606" width="12.5703125" customWidth="1"/>
    <col min="14607" max="14607" width="13.28515625" customWidth="1"/>
    <col min="14608" max="14608" width="14.85546875" customWidth="1"/>
    <col min="14609" max="14609" width="18" customWidth="1"/>
    <col min="14610" max="14610" width="24" customWidth="1"/>
    <col min="14843" max="14843" width="7.42578125" customWidth="1"/>
    <col min="14844" max="14844" width="22.7109375" customWidth="1"/>
    <col min="14845" max="14845" width="14.140625" customWidth="1"/>
    <col min="14846" max="14846" width="13.140625" customWidth="1"/>
    <col min="14847" max="14847" width="8.140625" customWidth="1"/>
    <col min="14848" max="14848" width="10.85546875" customWidth="1"/>
    <col min="14849" max="14849" width="38.85546875" customWidth="1"/>
    <col min="14850" max="14850" width="25.5703125" customWidth="1"/>
    <col min="14854" max="14854" width="44.85546875" customWidth="1"/>
    <col min="14855" max="14856" width="14.140625" customWidth="1"/>
    <col min="14857" max="14857" width="13.85546875" customWidth="1"/>
    <col min="14858" max="14858" width="13.5703125" customWidth="1"/>
    <col min="14859" max="14859" width="11.7109375" customWidth="1"/>
    <col min="14860" max="14860" width="14" customWidth="1"/>
    <col min="14861" max="14861" width="16.28515625" customWidth="1"/>
    <col min="14862" max="14862" width="12.5703125" customWidth="1"/>
    <col min="14863" max="14863" width="13.28515625" customWidth="1"/>
    <col min="14864" max="14864" width="14.85546875" customWidth="1"/>
    <col min="14865" max="14865" width="18" customWidth="1"/>
    <col min="14866" max="14866" width="24" customWidth="1"/>
    <col min="15099" max="15099" width="7.42578125" customWidth="1"/>
    <col min="15100" max="15100" width="22.7109375" customWidth="1"/>
    <col min="15101" max="15101" width="14.140625" customWidth="1"/>
    <col min="15102" max="15102" width="13.140625" customWidth="1"/>
    <col min="15103" max="15103" width="8.140625" customWidth="1"/>
    <col min="15104" max="15104" width="10.85546875" customWidth="1"/>
    <col min="15105" max="15105" width="38.85546875" customWidth="1"/>
    <col min="15106" max="15106" width="25.5703125" customWidth="1"/>
    <col min="15110" max="15110" width="44.85546875" customWidth="1"/>
    <col min="15111" max="15112" width="14.140625" customWidth="1"/>
    <col min="15113" max="15113" width="13.85546875" customWidth="1"/>
    <col min="15114" max="15114" width="13.5703125" customWidth="1"/>
    <col min="15115" max="15115" width="11.7109375" customWidth="1"/>
    <col min="15116" max="15116" width="14" customWidth="1"/>
    <col min="15117" max="15117" width="16.28515625" customWidth="1"/>
    <col min="15118" max="15118" width="12.5703125" customWidth="1"/>
    <col min="15119" max="15119" width="13.28515625" customWidth="1"/>
    <col min="15120" max="15120" width="14.85546875" customWidth="1"/>
    <col min="15121" max="15121" width="18" customWidth="1"/>
    <col min="15122" max="15122" width="24" customWidth="1"/>
    <col min="15355" max="15355" width="7.42578125" customWidth="1"/>
    <col min="15356" max="15356" width="22.7109375" customWidth="1"/>
    <col min="15357" max="15357" width="14.140625" customWidth="1"/>
    <col min="15358" max="15358" width="13.140625" customWidth="1"/>
    <col min="15359" max="15359" width="8.140625" customWidth="1"/>
    <col min="15360" max="15360" width="10.85546875" customWidth="1"/>
    <col min="15361" max="15361" width="38.85546875" customWidth="1"/>
    <col min="15362" max="15362" width="25.5703125" customWidth="1"/>
    <col min="15366" max="15366" width="44.85546875" customWidth="1"/>
    <col min="15367" max="15368" width="14.140625" customWidth="1"/>
    <col min="15369" max="15369" width="13.85546875" customWidth="1"/>
    <col min="15370" max="15370" width="13.5703125" customWidth="1"/>
    <col min="15371" max="15371" width="11.7109375" customWidth="1"/>
    <col min="15372" max="15372" width="14" customWidth="1"/>
    <col min="15373" max="15373" width="16.28515625" customWidth="1"/>
    <col min="15374" max="15374" width="12.5703125" customWidth="1"/>
    <col min="15375" max="15375" width="13.28515625" customWidth="1"/>
    <col min="15376" max="15376" width="14.85546875" customWidth="1"/>
    <col min="15377" max="15377" width="18" customWidth="1"/>
    <col min="15378" max="15378" width="24" customWidth="1"/>
    <col min="15611" max="15611" width="7.42578125" customWidth="1"/>
    <col min="15612" max="15612" width="22.7109375" customWidth="1"/>
    <col min="15613" max="15613" width="14.140625" customWidth="1"/>
    <col min="15614" max="15614" width="13.140625" customWidth="1"/>
    <col min="15615" max="15615" width="8.140625" customWidth="1"/>
    <col min="15616" max="15616" width="10.85546875" customWidth="1"/>
    <col min="15617" max="15617" width="38.85546875" customWidth="1"/>
    <col min="15618" max="15618" width="25.5703125" customWidth="1"/>
    <col min="15622" max="15622" width="44.85546875" customWidth="1"/>
    <col min="15623" max="15624" width="14.140625" customWidth="1"/>
    <col min="15625" max="15625" width="13.85546875" customWidth="1"/>
    <col min="15626" max="15626" width="13.5703125" customWidth="1"/>
    <col min="15627" max="15627" width="11.7109375" customWidth="1"/>
    <col min="15628" max="15628" width="14" customWidth="1"/>
    <col min="15629" max="15629" width="16.28515625" customWidth="1"/>
    <col min="15630" max="15630" width="12.5703125" customWidth="1"/>
    <col min="15631" max="15631" width="13.28515625" customWidth="1"/>
    <col min="15632" max="15632" width="14.85546875" customWidth="1"/>
    <col min="15633" max="15633" width="18" customWidth="1"/>
    <col min="15634" max="15634" width="24" customWidth="1"/>
    <col min="15867" max="15867" width="7.42578125" customWidth="1"/>
    <col min="15868" max="15868" width="22.7109375" customWidth="1"/>
    <col min="15869" max="15869" width="14.140625" customWidth="1"/>
    <col min="15870" max="15870" width="13.140625" customWidth="1"/>
    <col min="15871" max="15871" width="8.140625" customWidth="1"/>
    <col min="15872" max="15872" width="10.85546875" customWidth="1"/>
    <col min="15873" max="15873" width="38.85546875" customWidth="1"/>
    <col min="15874" max="15874" width="25.5703125" customWidth="1"/>
    <col min="15878" max="15878" width="44.85546875" customWidth="1"/>
    <col min="15879" max="15880" width="14.140625" customWidth="1"/>
    <col min="15881" max="15881" width="13.85546875" customWidth="1"/>
    <col min="15882" max="15882" width="13.5703125" customWidth="1"/>
    <col min="15883" max="15883" width="11.7109375" customWidth="1"/>
    <col min="15884" max="15884" width="14" customWidth="1"/>
    <col min="15885" max="15885" width="16.28515625" customWidth="1"/>
    <col min="15886" max="15886" width="12.5703125" customWidth="1"/>
    <col min="15887" max="15887" width="13.28515625" customWidth="1"/>
    <col min="15888" max="15888" width="14.85546875" customWidth="1"/>
    <col min="15889" max="15889" width="18" customWidth="1"/>
    <col min="15890" max="15890" width="24" customWidth="1"/>
    <col min="16123" max="16123" width="7.42578125" customWidth="1"/>
    <col min="16124" max="16124" width="22.7109375" customWidth="1"/>
    <col min="16125" max="16125" width="14.140625" customWidth="1"/>
    <col min="16126" max="16126" width="13.140625" customWidth="1"/>
    <col min="16127" max="16127" width="8.140625" customWidth="1"/>
    <col min="16128" max="16128" width="10.85546875" customWidth="1"/>
    <col min="16129" max="16129" width="38.85546875" customWidth="1"/>
    <col min="16130" max="16130" width="25.5703125" customWidth="1"/>
    <col min="16134" max="16134" width="44.85546875" customWidth="1"/>
    <col min="16135" max="16136" width="14.140625" customWidth="1"/>
    <col min="16137" max="16137" width="13.85546875" customWidth="1"/>
    <col min="16138" max="16138" width="13.5703125" customWidth="1"/>
    <col min="16139" max="16139" width="11.7109375" customWidth="1"/>
    <col min="16140" max="16140" width="14" customWidth="1"/>
    <col min="16141" max="16141" width="16.28515625" customWidth="1"/>
    <col min="16142" max="16142" width="12.5703125" customWidth="1"/>
    <col min="16143" max="16143" width="13.28515625" customWidth="1"/>
    <col min="16144" max="16144" width="14.85546875" customWidth="1"/>
    <col min="16145" max="16145" width="18" customWidth="1"/>
    <col min="16146" max="16146" width="24" customWidth="1"/>
  </cols>
  <sheetData>
    <row r="1" spans="2:36" ht="24.75" customHeight="1"/>
    <row r="2" spans="2:36" s="7" customFormat="1" ht="24.75" customHeight="1" thickBot="1">
      <c r="B2" s="357" t="s">
        <v>176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65"/>
      <c r="N2" s="365"/>
      <c r="O2" s="365"/>
      <c r="P2" s="365"/>
      <c r="Q2" s="365"/>
      <c r="R2" s="365"/>
      <c r="S2" s="365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2:36" s="7" customFormat="1" ht="32.25" customHeight="1" thickBot="1">
      <c r="B3" s="86"/>
      <c r="C3" s="86"/>
      <c r="D3" s="86"/>
      <c r="E3" s="330"/>
      <c r="F3" s="162"/>
      <c r="G3" s="162"/>
      <c r="H3" s="162"/>
      <c r="I3" s="86"/>
      <c r="J3" s="86"/>
      <c r="K3" s="86"/>
      <c r="L3" s="126"/>
      <c r="M3" s="372" t="s">
        <v>26</v>
      </c>
      <c r="N3" s="373"/>
      <c r="O3" s="374"/>
      <c r="P3" s="90" t="s">
        <v>33</v>
      </c>
      <c r="Q3" s="373" t="s">
        <v>34</v>
      </c>
      <c r="R3" s="373"/>
      <c r="S3" s="374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2:36" ht="38.25" customHeight="1" thickBot="1">
      <c r="B4" s="158" t="s">
        <v>0</v>
      </c>
      <c r="C4" s="192" t="s">
        <v>165</v>
      </c>
      <c r="D4" s="158" t="s">
        <v>1</v>
      </c>
      <c r="E4" s="158" t="s">
        <v>481</v>
      </c>
      <c r="F4" s="158" t="s">
        <v>115</v>
      </c>
      <c r="G4" s="185" t="s">
        <v>164</v>
      </c>
      <c r="H4" s="158" t="s">
        <v>116</v>
      </c>
      <c r="I4" s="158" t="s">
        <v>2</v>
      </c>
      <c r="J4" s="375" t="s">
        <v>3</v>
      </c>
      <c r="K4" s="375"/>
      <c r="L4" s="376"/>
      <c r="M4" s="154" t="s">
        <v>27</v>
      </c>
      <c r="N4" s="171" t="s">
        <v>28</v>
      </c>
      <c r="O4" s="176" t="s">
        <v>29</v>
      </c>
      <c r="P4" s="172" t="s">
        <v>27</v>
      </c>
      <c r="Q4" s="173" t="s">
        <v>4</v>
      </c>
      <c r="R4" s="175" t="s">
        <v>5</v>
      </c>
      <c r="S4" s="174" t="s">
        <v>6</v>
      </c>
    </row>
    <row r="5" spans="2:36" s="16" customFormat="1" ht="29.25" customHeight="1">
      <c r="B5" s="106">
        <v>1</v>
      </c>
      <c r="C5" s="337" t="s">
        <v>875</v>
      </c>
      <c r="D5" s="169" t="s">
        <v>896</v>
      </c>
      <c r="E5" s="343" t="s">
        <v>897</v>
      </c>
      <c r="F5" s="215" t="s">
        <v>898</v>
      </c>
      <c r="G5" s="344" t="s">
        <v>922</v>
      </c>
      <c r="H5" s="109" t="str">
        <f>UPPER(G5)</f>
        <v>PARTICIPAÇÃO II ENCONTRO 2019 - ENCERRAMENTO DE EXERCÍCIO</v>
      </c>
      <c r="I5" s="109" t="s">
        <v>65</v>
      </c>
      <c r="J5" s="150">
        <v>43770</v>
      </c>
      <c r="K5" s="111">
        <v>12</v>
      </c>
      <c r="L5" s="112">
        <v>12</v>
      </c>
      <c r="M5" s="124">
        <v>52.24</v>
      </c>
      <c r="N5" s="124">
        <v>68.010000000000005</v>
      </c>
      <c r="O5" s="124"/>
      <c r="P5" s="118">
        <f>69+49+49</f>
        <v>167</v>
      </c>
      <c r="Q5" s="113">
        <f>1046.03+598.57</f>
        <v>1644.6</v>
      </c>
      <c r="R5" s="114">
        <v>0</v>
      </c>
      <c r="S5" s="115">
        <f t="shared" ref="S5:S33" si="0">M5+N5+O5+P5+Q5+R5</f>
        <v>1931.85</v>
      </c>
      <c r="T5" s="15"/>
      <c r="U5" s="15"/>
      <c r="V5" s="15"/>
    </row>
    <row r="6" spans="2:36" s="16" customFormat="1" ht="26.25" customHeight="1">
      <c r="B6" s="94">
        <v>2</v>
      </c>
      <c r="C6" s="333" t="s">
        <v>876</v>
      </c>
      <c r="D6" s="10" t="s">
        <v>204</v>
      </c>
      <c r="E6" s="238" t="s">
        <v>494</v>
      </c>
      <c r="F6" s="164" t="s">
        <v>205</v>
      </c>
      <c r="G6" s="237" t="s">
        <v>923</v>
      </c>
      <c r="H6" s="9" t="str">
        <f t="shared" ref="H6:H33" si="1">UPPER(G6)</f>
        <v>PARTICIPAR REUNIÃO COM DR. ARTHUR LIMA GUEDES</v>
      </c>
      <c r="I6" s="9" t="s">
        <v>65</v>
      </c>
      <c r="J6" s="155">
        <v>43770</v>
      </c>
      <c r="K6" s="10">
        <v>7</v>
      </c>
      <c r="L6" s="11">
        <v>7</v>
      </c>
      <c r="M6" s="57">
        <v>0</v>
      </c>
      <c r="N6" s="57">
        <v>0</v>
      </c>
      <c r="O6" s="57"/>
      <c r="P6" s="54">
        <f>44.5+28+53+30</f>
        <v>155.5</v>
      </c>
      <c r="Q6" s="13">
        <v>2824.2</v>
      </c>
      <c r="R6" s="14">
        <v>0</v>
      </c>
      <c r="S6" s="93">
        <f t="shared" si="0"/>
        <v>2979.7</v>
      </c>
      <c r="T6" s="15"/>
      <c r="U6" s="15"/>
      <c r="V6" s="15"/>
    </row>
    <row r="7" spans="2:36" s="16" customFormat="1" ht="25.5" customHeight="1">
      <c r="B7" s="94">
        <v>3</v>
      </c>
      <c r="C7" s="333" t="s">
        <v>877</v>
      </c>
      <c r="D7" s="10" t="s">
        <v>227</v>
      </c>
      <c r="E7" s="238" t="s">
        <v>516</v>
      </c>
      <c r="F7" s="10" t="s">
        <v>455</v>
      </c>
      <c r="G7" s="237" t="s">
        <v>923</v>
      </c>
      <c r="H7" s="9" t="str">
        <f t="shared" si="1"/>
        <v>PARTICIPAR REUNIÃO COM DR. ARTHUR LIMA GUEDES</v>
      </c>
      <c r="I7" s="9" t="s">
        <v>65</v>
      </c>
      <c r="J7" s="155">
        <v>43770</v>
      </c>
      <c r="K7" s="10">
        <v>7</v>
      </c>
      <c r="L7" s="11">
        <v>7</v>
      </c>
      <c r="M7" s="57">
        <v>28</v>
      </c>
      <c r="N7" s="57">
        <v>52</v>
      </c>
      <c r="O7" s="57"/>
      <c r="P7" s="54">
        <v>25</v>
      </c>
      <c r="Q7" s="13">
        <v>2824.2</v>
      </c>
      <c r="R7" s="14">
        <v>0</v>
      </c>
      <c r="S7" s="93">
        <f t="shared" si="0"/>
        <v>2929.2</v>
      </c>
      <c r="T7" s="15"/>
      <c r="U7" s="15"/>
      <c r="V7" s="15"/>
    </row>
    <row r="8" spans="2:36" s="16" customFormat="1" ht="24" customHeight="1">
      <c r="B8" s="94">
        <v>4</v>
      </c>
      <c r="C8" s="332" t="s">
        <v>878</v>
      </c>
      <c r="D8" s="10" t="s">
        <v>899</v>
      </c>
      <c r="E8" s="238" t="s">
        <v>921</v>
      </c>
      <c r="F8" s="10" t="s">
        <v>900</v>
      </c>
      <c r="G8" s="202" t="s">
        <v>924</v>
      </c>
      <c r="H8" s="9" t="str">
        <f t="shared" si="1"/>
        <v>PARTICIPAR DO SECOND CONFERENCE ON STATISTICS AND DATA SCIENCE - CSDS 2019</v>
      </c>
      <c r="I8" s="9" t="s">
        <v>72</v>
      </c>
      <c r="J8" s="155">
        <v>43771</v>
      </c>
      <c r="K8" s="10">
        <v>17</v>
      </c>
      <c r="L8" s="11">
        <v>20</v>
      </c>
      <c r="M8" s="57">
        <v>0</v>
      </c>
      <c r="N8" s="57">
        <v>0</v>
      </c>
      <c r="O8" s="57"/>
      <c r="P8" s="54">
        <v>0</v>
      </c>
      <c r="Q8" s="13">
        <f>1282.03+482.03</f>
        <v>1764.06</v>
      </c>
      <c r="R8" s="14">
        <v>0</v>
      </c>
      <c r="S8" s="93">
        <f t="shared" si="0"/>
        <v>1764.06</v>
      </c>
      <c r="T8" s="15"/>
      <c r="U8" s="15"/>
      <c r="V8" s="15"/>
    </row>
    <row r="9" spans="2:36" s="16" customFormat="1" ht="17.25" customHeight="1">
      <c r="B9" s="94">
        <v>5</v>
      </c>
      <c r="C9" s="334" t="s">
        <v>879</v>
      </c>
      <c r="D9" s="193" t="s">
        <v>901</v>
      </c>
      <c r="E9" s="238" t="s">
        <v>902</v>
      </c>
      <c r="F9" s="10" t="s">
        <v>119</v>
      </c>
      <c r="G9" s="10" t="s">
        <v>925</v>
      </c>
      <c r="H9" s="9" t="str">
        <f t="shared" si="1"/>
        <v>PARTICIPAÇÃO NA REUNIÃO DO CONSELHO FISCAL</v>
      </c>
      <c r="I9" s="10" t="s">
        <v>56</v>
      </c>
      <c r="J9" s="17">
        <v>43770</v>
      </c>
      <c r="K9" s="10">
        <v>27</v>
      </c>
      <c r="L9" s="11">
        <v>29</v>
      </c>
      <c r="M9" s="57">
        <v>0</v>
      </c>
      <c r="N9" s="57">
        <v>52.35</v>
      </c>
      <c r="O9" s="57"/>
      <c r="P9" s="54">
        <v>0</v>
      </c>
      <c r="Q9" s="13">
        <v>1183.5999999999999</v>
      </c>
      <c r="R9" s="313">
        <v>495</v>
      </c>
      <c r="S9" s="93">
        <f t="shared" si="0"/>
        <v>1730.9499999999998</v>
      </c>
      <c r="T9" s="15"/>
      <c r="U9" s="15"/>
      <c r="V9" s="15"/>
    </row>
    <row r="10" spans="2:36" s="16" customFormat="1" ht="12.75" customHeight="1">
      <c r="B10" s="94">
        <v>6</v>
      </c>
      <c r="C10" s="334" t="s">
        <v>880</v>
      </c>
      <c r="D10" s="193" t="s">
        <v>903</v>
      </c>
      <c r="E10" s="238" t="s">
        <v>904</v>
      </c>
      <c r="F10" s="10" t="s">
        <v>119</v>
      </c>
      <c r="G10" s="10" t="s">
        <v>925</v>
      </c>
      <c r="H10" s="9" t="str">
        <f t="shared" si="1"/>
        <v>PARTICIPAÇÃO NA REUNIÃO DO CONSELHO FISCAL</v>
      </c>
      <c r="I10" s="10" t="s">
        <v>937</v>
      </c>
      <c r="J10" s="17">
        <v>43771</v>
      </c>
      <c r="K10" s="10">
        <v>27</v>
      </c>
      <c r="L10" s="11">
        <v>28</v>
      </c>
      <c r="M10" s="57">
        <v>0</v>
      </c>
      <c r="N10" s="57">
        <v>52.35</v>
      </c>
      <c r="O10" s="57"/>
      <c r="P10" s="54">
        <v>0</v>
      </c>
      <c r="Q10" s="13">
        <v>1058.5999999999999</v>
      </c>
      <c r="R10" s="14">
        <f>247.5+5.5</f>
        <v>253</v>
      </c>
      <c r="S10" s="93">
        <f t="shared" si="0"/>
        <v>1363.9499999999998</v>
      </c>
      <c r="T10" s="15"/>
      <c r="U10" s="15"/>
      <c r="V10" s="15"/>
    </row>
    <row r="11" spans="2:36" s="16" customFormat="1" ht="23.25" customHeight="1">
      <c r="B11" s="94">
        <v>7</v>
      </c>
      <c r="C11" s="332" t="s">
        <v>881</v>
      </c>
      <c r="D11" s="168" t="s">
        <v>300</v>
      </c>
      <c r="E11" s="238" t="s">
        <v>528</v>
      </c>
      <c r="F11" s="164" t="s">
        <v>301</v>
      </c>
      <c r="G11" s="202" t="s">
        <v>926</v>
      </c>
      <c r="H11" s="9" t="str">
        <f t="shared" si="1"/>
        <v>MINISTRAR TREINAMENTO DO MÓDULO EXAMES LABORATÓRIO E IMAGENS.</v>
      </c>
      <c r="I11" s="9" t="s">
        <v>103</v>
      </c>
      <c r="J11" s="198" t="s">
        <v>938</v>
      </c>
      <c r="K11" s="199">
        <v>25</v>
      </c>
      <c r="L11" s="200">
        <v>5</v>
      </c>
      <c r="M11" s="57">
        <v>43</v>
      </c>
      <c r="N11" s="57">
        <v>408.03</v>
      </c>
      <c r="O11" s="57"/>
      <c r="P11" s="54">
        <v>0</v>
      </c>
      <c r="Q11" s="13">
        <v>2262.08</v>
      </c>
      <c r="R11" s="216">
        <v>170</v>
      </c>
      <c r="S11" s="93">
        <f t="shared" si="0"/>
        <v>2883.1099999999997</v>
      </c>
      <c r="T11" s="15"/>
      <c r="U11" s="15"/>
      <c r="V11" s="15"/>
    </row>
    <row r="12" spans="2:36" s="16" customFormat="1" ht="23.25" customHeight="1">
      <c r="B12" s="94">
        <v>8</v>
      </c>
      <c r="C12" s="332" t="s">
        <v>882</v>
      </c>
      <c r="D12" s="168" t="s">
        <v>302</v>
      </c>
      <c r="E12" s="238" t="s">
        <v>529</v>
      </c>
      <c r="F12" s="163" t="s">
        <v>303</v>
      </c>
      <c r="G12" s="163" t="s">
        <v>927</v>
      </c>
      <c r="H12" s="9" t="str">
        <f t="shared" si="1"/>
        <v>TREINAMENTO AGHUSE - MÓDULOS EXAMES - IMAGENS</v>
      </c>
      <c r="I12" s="9" t="s">
        <v>103</v>
      </c>
      <c r="J12" s="198" t="s">
        <v>938</v>
      </c>
      <c r="K12" s="199">
        <v>25</v>
      </c>
      <c r="L12" s="200">
        <v>5</v>
      </c>
      <c r="M12" s="57">
        <v>312.55</v>
      </c>
      <c r="N12" s="57">
        <v>280.38</v>
      </c>
      <c r="O12" s="57"/>
      <c r="P12" s="54">
        <v>0</v>
      </c>
      <c r="Q12" s="13">
        <v>2397.08</v>
      </c>
      <c r="R12" s="216">
        <v>170</v>
      </c>
      <c r="S12" s="93">
        <f t="shared" si="0"/>
        <v>3160.01</v>
      </c>
      <c r="T12" s="15"/>
      <c r="U12" s="15"/>
      <c r="V12" s="15"/>
    </row>
    <row r="13" spans="2:36" s="16" customFormat="1" ht="24" customHeight="1">
      <c r="B13" s="94">
        <v>9</v>
      </c>
      <c r="C13" s="55" t="s">
        <v>883</v>
      </c>
      <c r="D13" s="168" t="s">
        <v>222</v>
      </c>
      <c r="E13" s="238" t="s">
        <v>514</v>
      </c>
      <c r="F13" s="236" t="s">
        <v>464</v>
      </c>
      <c r="G13" s="163" t="s">
        <v>927</v>
      </c>
      <c r="H13" s="9" t="str">
        <f t="shared" si="1"/>
        <v>TREINAMENTO AGHUSE - MÓDULOS EXAMES - IMAGENS</v>
      </c>
      <c r="I13" s="9" t="s">
        <v>103</v>
      </c>
      <c r="J13" s="198">
        <v>43800</v>
      </c>
      <c r="K13" s="199">
        <v>9</v>
      </c>
      <c r="L13" s="200">
        <v>12</v>
      </c>
      <c r="M13" s="57">
        <v>109.91</v>
      </c>
      <c r="N13" s="57">
        <v>220.44</v>
      </c>
      <c r="O13" s="57"/>
      <c r="P13" s="54">
        <v>0</v>
      </c>
      <c r="Q13" s="13">
        <f>595.13+723.85</f>
        <v>1318.98</v>
      </c>
      <c r="R13" s="313">
        <f>587.52+55</f>
        <v>642.52</v>
      </c>
      <c r="S13" s="93">
        <f t="shared" si="0"/>
        <v>2291.85</v>
      </c>
      <c r="T13" s="15"/>
      <c r="U13" s="15"/>
      <c r="V13" s="15"/>
    </row>
    <row r="14" spans="2:36" s="16" customFormat="1" ht="18" customHeight="1">
      <c r="B14" s="94">
        <v>10</v>
      </c>
      <c r="C14" s="333" t="s">
        <v>884</v>
      </c>
      <c r="D14" s="168" t="s">
        <v>335</v>
      </c>
      <c r="E14" s="238" t="s">
        <v>538</v>
      </c>
      <c r="F14" s="164" t="s">
        <v>336</v>
      </c>
      <c r="G14" s="167" t="s">
        <v>928</v>
      </c>
      <c r="H14" s="9" t="str">
        <f t="shared" si="1"/>
        <v>IMPLANTAÇÃO DO MÓDULO CCIH- AGH-USE</v>
      </c>
      <c r="I14" s="9" t="s">
        <v>103</v>
      </c>
      <c r="J14" s="198">
        <v>43800</v>
      </c>
      <c r="K14" s="199">
        <v>9</v>
      </c>
      <c r="L14" s="200">
        <v>12</v>
      </c>
      <c r="M14" s="57">
        <v>164.86</v>
      </c>
      <c r="N14" s="57">
        <v>181.94</v>
      </c>
      <c r="O14" s="57"/>
      <c r="P14" s="54">
        <v>0</v>
      </c>
      <c r="Q14" s="13">
        <f>595.13+723.85</f>
        <v>1318.98</v>
      </c>
      <c r="R14" s="313">
        <f>587.52+11</f>
        <v>598.52</v>
      </c>
      <c r="S14" s="93">
        <f t="shared" si="0"/>
        <v>2264.3000000000002</v>
      </c>
      <c r="T14" s="15"/>
      <c r="U14" s="15"/>
      <c r="V14" s="15"/>
    </row>
    <row r="15" spans="2:36" s="16" customFormat="1" ht="18" customHeight="1">
      <c r="B15" s="94">
        <v>11</v>
      </c>
      <c r="C15" s="334" t="s">
        <v>885</v>
      </c>
      <c r="D15" s="345" t="s">
        <v>59</v>
      </c>
      <c r="E15" s="238" t="s">
        <v>487</v>
      </c>
      <c r="F15" s="10" t="s">
        <v>119</v>
      </c>
      <c r="G15" s="10" t="s">
        <v>925</v>
      </c>
      <c r="H15" s="9" t="str">
        <f t="shared" si="1"/>
        <v>PARTICIPAÇÃO NA REUNIÃO DO CONSELHO FISCAL</v>
      </c>
      <c r="I15" s="10" t="s">
        <v>56</v>
      </c>
      <c r="J15" s="17">
        <v>43770</v>
      </c>
      <c r="K15" s="10">
        <v>27</v>
      </c>
      <c r="L15" s="11">
        <v>29</v>
      </c>
      <c r="M15" s="57">
        <v>14.27</v>
      </c>
      <c r="N15" s="57">
        <v>0</v>
      </c>
      <c r="O15" s="57"/>
      <c r="P15" s="54">
        <v>0</v>
      </c>
      <c r="Q15" s="13">
        <f>646.57+761.03</f>
        <v>1407.6</v>
      </c>
      <c r="R15" s="14">
        <f>247.5+5.5</f>
        <v>253</v>
      </c>
      <c r="S15" s="93">
        <f t="shared" si="0"/>
        <v>1674.87</v>
      </c>
      <c r="T15" s="15"/>
      <c r="U15" s="15"/>
      <c r="V15" s="15"/>
    </row>
    <row r="16" spans="2:36" s="16" customFormat="1" ht="26.25" customHeight="1">
      <c r="B16" s="94">
        <v>12</v>
      </c>
      <c r="C16" s="332" t="s">
        <v>886</v>
      </c>
      <c r="D16" s="10" t="s">
        <v>905</v>
      </c>
      <c r="E16" s="238" t="s">
        <v>906</v>
      </c>
      <c r="F16" s="10" t="s">
        <v>907</v>
      </c>
      <c r="G16" s="164" t="s">
        <v>929</v>
      </c>
      <c r="H16" s="9" t="str">
        <f t="shared" si="1"/>
        <v>CAPACITAÇÃO NA PLATAFORMA MAIS BRASIL - SISTEMA DE CAPTAÇÃO DE RECURSOS DA UNIÃO</v>
      </c>
      <c r="I16" s="9" t="s">
        <v>65</v>
      </c>
      <c r="J16" s="198">
        <v>43800</v>
      </c>
      <c r="K16" s="199">
        <v>15</v>
      </c>
      <c r="L16" s="200">
        <v>20</v>
      </c>
      <c r="M16" s="57"/>
      <c r="N16" s="57"/>
      <c r="O16" s="57"/>
      <c r="P16" s="54">
        <f>35.34+55.12+13+40.62+39.24</f>
        <v>183.32000000000002</v>
      </c>
      <c r="Q16" s="13">
        <v>1842.6</v>
      </c>
      <c r="R16" s="313">
        <f>1489.4+196.9</f>
        <v>1686.3000000000002</v>
      </c>
      <c r="S16" s="93">
        <f t="shared" si="0"/>
        <v>3712.2200000000003</v>
      </c>
      <c r="T16" s="15"/>
      <c r="U16" s="15"/>
      <c r="V16" s="15"/>
    </row>
    <row r="17" spans="2:22" s="16" customFormat="1" ht="58.5" customHeight="1">
      <c r="B17" s="94">
        <v>13</v>
      </c>
      <c r="C17" s="332" t="s">
        <v>887</v>
      </c>
      <c r="D17" s="168" t="s">
        <v>819</v>
      </c>
      <c r="E17" s="238" t="s">
        <v>830</v>
      </c>
      <c r="F17" s="194" t="s">
        <v>908</v>
      </c>
      <c r="G17" s="202" t="s">
        <v>930</v>
      </c>
      <c r="H17" s="9" t="str">
        <f t="shared" si="1"/>
        <v>REPRESENTAR A PROFA NADINE CLAUSELL E O HCPA EM ATIVIDADE NO EVENTO V CONGRESSO DA ASSOCIAÇÃO BRASILEIRA DE HOSPITAIS UNIVERSITÁRIOS E DE ENSINO - ABRAHUE, EM SALVADOR/BA</v>
      </c>
      <c r="I17" s="9" t="s">
        <v>72</v>
      </c>
      <c r="J17" s="198">
        <v>43800</v>
      </c>
      <c r="K17" s="199">
        <v>2</v>
      </c>
      <c r="L17" s="200">
        <v>4</v>
      </c>
      <c r="M17" s="57">
        <v>0</v>
      </c>
      <c r="N17" s="57">
        <v>22</v>
      </c>
      <c r="O17" s="57"/>
      <c r="P17" s="12">
        <v>0</v>
      </c>
      <c r="Q17" s="13">
        <f>858.03+967.03</f>
        <v>1825.06</v>
      </c>
      <c r="R17" s="313">
        <v>630</v>
      </c>
      <c r="S17" s="93">
        <f t="shared" si="0"/>
        <v>2477.06</v>
      </c>
      <c r="T17" s="15"/>
      <c r="U17" s="15"/>
      <c r="V17" s="15"/>
    </row>
    <row r="18" spans="2:22" s="16" customFormat="1" ht="27" customHeight="1">
      <c r="B18" s="94">
        <v>14</v>
      </c>
      <c r="C18" s="332" t="s">
        <v>888</v>
      </c>
      <c r="D18" s="168" t="s">
        <v>909</v>
      </c>
      <c r="E18" s="238" t="s">
        <v>910</v>
      </c>
      <c r="F18" s="236" t="s">
        <v>911</v>
      </c>
      <c r="G18" s="164" t="s">
        <v>931</v>
      </c>
      <c r="H18" s="9" t="str">
        <f t="shared" si="1"/>
        <v>ACOMPANHAMENTO DE IMPLANTAÇÃO DOS MÓDULOS COMPRAS E ESTOQUE</v>
      </c>
      <c r="I18" s="9" t="s">
        <v>65</v>
      </c>
      <c r="J18" s="17">
        <v>43770</v>
      </c>
      <c r="K18" s="10">
        <v>18</v>
      </c>
      <c r="L18" s="11">
        <v>22</v>
      </c>
      <c r="M18" s="57">
        <v>98.29</v>
      </c>
      <c r="N18" s="57">
        <v>412.71</v>
      </c>
      <c r="O18" s="57"/>
      <c r="P18" s="12">
        <v>0</v>
      </c>
      <c r="Q18" s="13">
        <f>2022.03+1062.57</f>
        <v>3084.6</v>
      </c>
      <c r="R18" s="313">
        <f>1191.4+213.84</f>
        <v>1405.24</v>
      </c>
      <c r="S18" s="93">
        <f t="shared" si="0"/>
        <v>5000.84</v>
      </c>
      <c r="T18" s="15"/>
      <c r="U18" s="15"/>
      <c r="V18" s="15"/>
    </row>
    <row r="19" spans="2:22" s="16" customFormat="1" ht="17.25" customHeight="1">
      <c r="B19" s="94">
        <v>15</v>
      </c>
      <c r="C19" s="332" t="s">
        <v>889</v>
      </c>
      <c r="D19" s="168" t="s">
        <v>237</v>
      </c>
      <c r="E19" s="238" t="s">
        <v>525</v>
      </c>
      <c r="F19" s="236" t="s">
        <v>912</v>
      </c>
      <c r="G19" s="164" t="s">
        <v>932</v>
      </c>
      <c r="H19" s="9" t="str">
        <f t="shared" si="1"/>
        <v>IMPLANTAÇÃO DO MÓDULO DE ESTOQUE</v>
      </c>
      <c r="I19" s="9" t="s">
        <v>65</v>
      </c>
      <c r="J19" s="17">
        <v>43770</v>
      </c>
      <c r="K19" s="10">
        <v>18</v>
      </c>
      <c r="L19" s="11">
        <v>22</v>
      </c>
      <c r="M19" s="57">
        <v>187.29</v>
      </c>
      <c r="N19" s="57">
        <v>378.97</v>
      </c>
      <c r="O19" s="57"/>
      <c r="P19" s="12">
        <v>0</v>
      </c>
      <c r="Q19" s="13">
        <f>2022.03+1062.57</f>
        <v>3084.6</v>
      </c>
      <c r="R19" s="313">
        <f>1191.4+282.4</f>
        <v>1473.8000000000002</v>
      </c>
      <c r="S19" s="93">
        <f t="shared" si="0"/>
        <v>5124.66</v>
      </c>
      <c r="T19" s="15"/>
      <c r="U19" s="15"/>
      <c r="V19" s="15"/>
    </row>
    <row r="20" spans="2:22" s="16" customFormat="1" ht="16.5" customHeight="1">
      <c r="B20" s="94">
        <v>16</v>
      </c>
      <c r="C20" s="332" t="s">
        <v>890</v>
      </c>
      <c r="D20" s="168" t="s">
        <v>212</v>
      </c>
      <c r="E20" s="238" t="s">
        <v>520</v>
      </c>
      <c r="F20" s="236" t="s">
        <v>213</v>
      </c>
      <c r="G20" s="164" t="s">
        <v>933</v>
      </c>
      <c r="H20" s="9" t="str">
        <f t="shared" si="1"/>
        <v>IMPLANTAÇÃO COMPRAS E ESTOQUE NO HMAB</v>
      </c>
      <c r="I20" s="9" t="s">
        <v>65</v>
      </c>
      <c r="J20" s="17">
        <v>43770</v>
      </c>
      <c r="K20" s="10">
        <v>18</v>
      </c>
      <c r="L20" s="11">
        <v>20</v>
      </c>
      <c r="M20" s="57">
        <v>75.14</v>
      </c>
      <c r="N20" s="57">
        <v>205.57</v>
      </c>
      <c r="O20" s="57"/>
      <c r="P20" s="12">
        <v>0</v>
      </c>
      <c r="Q20" s="13">
        <f>2022.03+1507.57</f>
        <v>3529.6</v>
      </c>
      <c r="R20" s="313">
        <f>595.7+247.83</f>
        <v>843.53000000000009</v>
      </c>
      <c r="S20" s="93">
        <f t="shared" si="0"/>
        <v>4653.84</v>
      </c>
      <c r="T20" s="15"/>
      <c r="U20" s="15"/>
      <c r="V20" s="15"/>
    </row>
    <row r="21" spans="2:22" s="16" customFormat="1" ht="12.75" customHeight="1">
      <c r="B21" s="94">
        <v>17</v>
      </c>
      <c r="C21" s="341" t="s">
        <v>891</v>
      </c>
      <c r="D21" s="10" t="s">
        <v>825</v>
      </c>
      <c r="E21" s="238" t="s">
        <v>836</v>
      </c>
      <c r="F21" s="10" t="s">
        <v>693</v>
      </c>
      <c r="G21" s="9" t="s">
        <v>700</v>
      </c>
      <c r="H21" s="9" t="str">
        <f t="shared" si="1"/>
        <v>REUNIÃO DO CONSELHO DA ADMINISTRAÇÃO</v>
      </c>
      <c r="I21" s="9" t="s">
        <v>56</v>
      </c>
      <c r="J21" s="17">
        <v>43770</v>
      </c>
      <c r="K21" s="10">
        <v>25</v>
      </c>
      <c r="L21" s="11">
        <v>25</v>
      </c>
      <c r="M21" s="57">
        <v>0</v>
      </c>
      <c r="N21" s="57">
        <v>0</v>
      </c>
      <c r="O21" s="57"/>
      <c r="P21" s="12">
        <v>0</v>
      </c>
      <c r="Q21" s="13">
        <v>1807.6</v>
      </c>
      <c r="R21" s="14">
        <v>0</v>
      </c>
      <c r="S21" s="93">
        <f t="shared" si="0"/>
        <v>1807.6</v>
      </c>
      <c r="T21" s="15"/>
      <c r="U21" s="15"/>
      <c r="V21" s="15"/>
    </row>
    <row r="22" spans="2:22" s="16" customFormat="1" ht="24.75" customHeight="1">
      <c r="B22" s="94">
        <v>18</v>
      </c>
      <c r="C22" s="332" t="s">
        <v>892</v>
      </c>
      <c r="D22" s="168" t="s">
        <v>913</v>
      </c>
      <c r="E22" s="238" t="s">
        <v>515</v>
      </c>
      <c r="F22" s="194" t="s">
        <v>226</v>
      </c>
      <c r="G22" s="9" t="s">
        <v>934</v>
      </c>
      <c r="H22" s="9" t="str">
        <f t="shared" si="1"/>
        <v>PARTICIPAÇÃO 2º SEMINÁRIO INTERNACIONAL DE PREVIDÊNCIA COMPLEMENTAR</v>
      </c>
      <c r="I22" s="10" t="s">
        <v>56</v>
      </c>
      <c r="J22" s="17">
        <v>43770</v>
      </c>
      <c r="K22" s="10">
        <v>21</v>
      </c>
      <c r="L22" s="11">
        <v>22</v>
      </c>
      <c r="M22" s="57">
        <v>180.83</v>
      </c>
      <c r="N22" s="57">
        <v>0</v>
      </c>
      <c r="O22" s="57"/>
      <c r="P22" s="12">
        <v>0</v>
      </c>
      <c r="Q22" s="13">
        <f>1146.03+997.57</f>
        <v>2143.6</v>
      </c>
      <c r="R22" s="14">
        <f>312.8+100.1</f>
        <v>412.9</v>
      </c>
      <c r="S22" s="93">
        <f t="shared" si="0"/>
        <v>2737.33</v>
      </c>
      <c r="T22" s="15"/>
      <c r="U22" s="15"/>
      <c r="V22" s="15"/>
    </row>
    <row r="23" spans="2:22" s="16" customFormat="1" ht="36.75" customHeight="1">
      <c r="B23" s="94">
        <v>19</v>
      </c>
      <c r="C23" s="332" t="s">
        <v>893</v>
      </c>
      <c r="D23" s="168" t="s">
        <v>914</v>
      </c>
      <c r="E23" s="238" t="s">
        <v>915</v>
      </c>
      <c r="F23" s="194" t="s">
        <v>137</v>
      </c>
      <c r="G23" s="342" t="s">
        <v>935</v>
      </c>
      <c r="H23" s="9" t="str">
        <f t="shared" si="1"/>
        <v>PARTICIPAÇÃO NA REUNIÃO DO SISTEMA DE OUVIDORIA DO PODER EXECUTIVO FEDERAL PROMOVIDA PELA CGU.</v>
      </c>
      <c r="I23" s="9" t="s">
        <v>65</v>
      </c>
      <c r="J23" s="198">
        <v>43800</v>
      </c>
      <c r="K23" s="199">
        <v>2</v>
      </c>
      <c r="L23" s="200">
        <v>4</v>
      </c>
      <c r="M23" s="57">
        <v>0</v>
      </c>
      <c r="N23" s="57">
        <v>0</v>
      </c>
      <c r="O23" s="57"/>
      <c r="P23" s="12">
        <v>0</v>
      </c>
      <c r="Q23" s="13">
        <f>761.03+646.57</f>
        <v>1407.6</v>
      </c>
      <c r="R23" s="313">
        <v>389.55</v>
      </c>
      <c r="S23" s="93">
        <f t="shared" si="0"/>
        <v>1797.1499999999999</v>
      </c>
      <c r="T23" s="15"/>
      <c r="U23" s="15"/>
      <c r="V23" s="15"/>
    </row>
    <row r="24" spans="2:22" s="16" customFormat="1" ht="20.25" customHeight="1">
      <c r="B24" s="94">
        <v>20</v>
      </c>
      <c r="C24" s="341" t="s">
        <v>894</v>
      </c>
      <c r="D24" s="10" t="s">
        <v>451</v>
      </c>
      <c r="E24" s="238" t="s">
        <v>567</v>
      </c>
      <c r="F24" s="10" t="s">
        <v>693</v>
      </c>
      <c r="G24" s="9" t="s">
        <v>700</v>
      </c>
      <c r="H24" s="9" t="str">
        <f t="shared" si="1"/>
        <v>REUNIÃO DO CONSELHO DA ADMINISTRAÇÃO</v>
      </c>
      <c r="I24" s="9" t="s">
        <v>56</v>
      </c>
      <c r="J24" s="17">
        <v>43770</v>
      </c>
      <c r="K24" s="10">
        <v>25</v>
      </c>
      <c r="L24" s="11">
        <v>25</v>
      </c>
      <c r="M24" s="57">
        <v>0</v>
      </c>
      <c r="N24" s="57">
        <v>0</v>
      </c>
      <c r="O24" s="57"/>
      <c r="P24" s="12">
        <v>0</v>
      </c>
      <c r="Q24" s="13">
        <f>997.57+1293.03+1241.03</f>
        <v>3531.63</v>
      </c>
      <c r="R24" s="14">
        <v>0</v>
      </c>
      <c r="S24" s="93">
        <f t="shared" si="0"/>
        <v>3531.63</v>
      </c>
      <c r="T24" s="15"/>
      <c r="U24" s="15"/>
      <c r="V24" s="15"/>
    </row>
    <row r="25" spans="2:22" s="16" customFormat="1" ht="36.75" customHeight="1">
      <c r="B25" s="94">
        <v>21</v>
      </c>
      <c r="C25" s="332" t="s">
        <v>895</v>
      </c>
      <c r="D25" s="168" t="s">
        <v>916</v>
      </c>
      <c r="E25" s="238" t="s">
        <v>917</v>
      </c>
      <c r="F25" s="194" t="s">
        <v>918</v>
      </c>
      <c r="G25" s="202" t="s">
        <v>936</v>
      </c>
      <c r="H25" s="9" t="str">
        <f t="shared" si="1"/>
        <v>PARTICIPAR DE SEMINÁRIO INTERNACIONAL PREVIDÊNCIA COMPLEMENTAR PROMOVIDO PELA SECRETARIA DE PREVIDÊNCIA DO GOVERNO FEDERAL</v>
      </c>
      <c r="I25" s="10" t="s">
        <v>266</v>
      </c>
      <c r="J25" s="17">
        <v>43770</v>
      </c>
      <c r="K25" s="10">
        <v>21</v>
      </c>
      <c r="L25" s="11">
        <v>22</v>
      </c>
      <c r="M25" s="57">
        <v>16.53</v>
      </c>
      <c r="N25" s="57">
        <v>0</v>
      </c>
      <c r="O25" s="57"/>
      <c r="P25" s="12">
        <v>0</v>
      </c>
      <c r="Q25" s="13">
        <f>1146.03+1291.57</f>
        <v>2437.6</v>
      </c>
      <c r="R25" s="14">
        <f>312.8+28.6</f>
        <v>341.40000000000003</v>
      </c>
      <c r="S25" s="93">
        <f t="shared" si="0"/>
        <v>2795.53</v>
      </c>
      <c r="T25" s="15"/>
      <c r="U25" s="15"/>
      <c r="V25" s="15"/>
    </row>
    <row r="26" spans="2:22" s="16" customFormat="1" ht="24.75" customHeight="1">
      <c r="B26" s="94">
        <v>22</v>
      </c>
      <c r="C26" s="332" t="s">
        <v>944</v>
      </c>
      <c r="D26" s="168" t="s">
        <v>919</v>
      </c>
      <c r="E26" s="238" t="s">
        <v>941</v>
      </c>
      <c r="F26" s="164" t="s">
        <v>940</v>
      </c>
      <c r="G26" s="336"/>
      <c r="H26" s="347" t="s">
        <v>942</v>
      </c>
      <c r="I26" s="9" t="s">
        <v>939</v>
      </c>
      <c r="J26" s="17">
        <v>43770</v>
      </c>
      <c r="K26" s="10">
        <v>25</v>
      </c>
      <c r="L26" s="11">
        <v>28</v>
      </c>
      <c r="M26" s="57">
        <v>0</v>
      </c>
      <c r="N26" s="57">
        <v>0</v>
      </c>
      <c r="O26" s="57"/>
      <c r="P26" s="12">
        <v>0</v>
      </c>
      <c r="Q26" s="13">
        <v>1723.88</v>
      </c>
      <c r="R26" s="313">
        <f>804+30.2</f>
        <v>834.2</v>
      </c>
      <c r="S26" s="93">
        <f t="shared" si="0"/>
        <v>2558.08</v>
      </c>
      <c r="T26" s="15"/>
      <c r="U26" s="15"/>
      <c r="V26" s="15"/>
    </row>
    <row r="27" spans="2:22" s="16" customFormat="1" ht="27.75" customHeight="1">
      <c r="B27" s="94">
        <v>23</v>
      </c>
      <c r="C27" s="332" t="s">
        <v>945</v>
      </c>
      <c r="D27" s="168" t="s">
        <v>920</v>
      </c>
      <c r="E27" s="238" t="s">
        <v>943</v>
      </c>
      <c r="F27" s="164" t="s">
        <v>940</v>
      </c>
      <c r="G27" s="336"/>
      <c r="H27" s="210" t="s">
        <v>942</v>
      </c>
      <c r="I27" s="9" t="s">
        <v>939</v>
      </c>
      <c r="J27" s="17">
        <v>43770</v>
      </c>
      <c r="K27" s="10">
        <v>25</v>
      </c>
      <c r="L27" s="11">
        <v>28</v>
      </c>
      <c r="M27" s="57">
        <v>0</v>
      </c>
      <c r="N27" s="57">
        <v>0</v>
      </c>
      <c r="O27" s="57"/>
      <c r="P27" s="12">
        <v>0</v>
      </c>
      <c r="Q27" s="13">
        <f>1096.03+1028.85</f>
        <v>2124.88</v>
      </c>
      <c r="R27" s="313">
        <v>804</v>
      </c>
      <c r="S27" s="93">
        <f t="shared" si="0"/>
        <v>2928.88</v>
      </c>
      <c r="T27" s="15"/>
      <c r="U27" s="15"/>
      <c r="V27" s="15"/>
    </row>
    <row r="28" spans="2:22" s="16" customFormat="1" ht="15" customHeight="1">
      <c r="B28" s="94">
        <v>24</v>
      </c>
      <c r="C28" s="332" t="s">
        <v>946</v>
      </c>
      <c r="D28" s="168" t="s">
        <v>950</v>
      </c>
      <c r="E28" s="238" t="s">
        <v>951</v>
      </c>
      <c r="F28" s="164" t="s">
        <v>952</v>
      </c>
      <c r="G28" s="164" t="s">
        <v>959</v>
      </c>
      <c r="H28" s="9" t="str">
        <f t="shared" si="1"/>
        <v>PARTICIPAÇÃO NO CONGRESSO ESAÚDE &amp; PEP 2019</v>
      </c>
      <c r="I28" s="9" t="s">
        <v>358</v>
      </c>
      <c r="J28" s="198">
        <v>43800</v>
      </c>
      <c r="K28" s="199">
        <v>2</v>
      </c>
      <c r="L28" s="200">
        <v>4</v>
      </c>
      <c r="M28" s="57">
        <v>0</v>
      </c>
      <c r="N28" s="57">
        <v>0</v>
      </c>
      <c r="O28" s="57"/>
      <c r="P28" s="12">
        <v>0</v>
      </c>
      <c r="Q28" s="13">
        <v>2142.88</v>
      </c>
      <c r="R28" s="313">
        <f>623.7+6.5</f>
        <v>630.20000000000005</v>
      </c>
      <c r="S28" s="93">
        <f t="shared" si="0"/>
        <v>2773.08</v>
      </c>
      <c r="T28" s="15"/>
      <c r="U28" s="15"/>
      <c r="V28" s="15"/>
    </row>
    <row r="29" spans="2:22" s="16" customFormat="1" ht="15.75" customHeight="1">
      <c r="B29" s="94">
        <v>25</v>
      </c>
      <c r="C29" s="332" t="s">
        <v>947</v>
      </c>
      <c r="D29" s="168" t="s">
        <v>953</v>
      </c>
      <c r="E29" s="238" t="s">
        <v>954</v>
      </c>
      <c r="F29" s="164" t="s">
        <v>955</v>
      </c>
      <c r="G29" s="164" t="s">
        <v>959</v>
      </c>
      <c r="H29" s="9" t="str">
        <f t="shared" si="1"/>
        <v>PARTICIPAÇÃO NO CONGRESSO ESAÚDE &amp; PEP 2019</v>
      </c>
      <c r="I29" s="9" t="s">
        <v>358</v>
      </c>
      <c r="J29" s="198">
        <v>43800</v>
      </c>
      <c r="K29" s="199">
        <v>2</v>
      </c>
      <c r="L29" s="200">
        <v>4</v>
      </c>
      <c r="M29" s="57">
        <v>0</v>
      </c>
      <c r="N29" s="57">
        <v>0</v>
      </c>
      <c r="O29" s="57"/>
      <c r="P29" s="12">
        <v>0</v>
      </c>
      <c r="Q29" s="13">
        <v>2142.88</v>
      </c>
      <c r="R29" s="313">
        <v>623.70000000000005</v>
      </c>
      <c r="S29" s="93">
        <f t="shared" si="0"/>
        <v>2766.58</v>
      </c>
      <c r="T29" s="15"/>
      <c r="U29" s="15"/>
      <c r="V29" s="15"/>
    </row>
    <row r="30" spans="2:22" s="16" customFormat="1" ht="63" customHeight="1">
      <c r="B30" s="94">
        <v>26</v>
      </c>
      <c r="C30" s="332" t="s">
        <v>948</v>
      </c>
      <c r="D30" s="168" t="s">
        <v>956</v>
      </c>
      <c r="E30" s="238" t="s">
        <v>957</v>
      </c>
      <c r="F30" s="164" t="s">
        <v>958</v>
      </c>
      <c r="G30" s="202" t="s">
        <v>960</v>
      </c>
      <c r="H30" s="9" t="str">
        <f t="shared" si="1"/>
        <v>ACOMPANHAMENTO DA PACIENTE LUIZA BORTOLINI FRARON (P:15927429) EM VIAGEM DE RETORNO AO HOSPITAL DE CLÍNICAS DE PORTO ALEGRE, APÓS INTERNAÇÃO PARA IMPLANTE DE HEARTMATE II NO HOSPITAL SÍRIO LIBANÊS EM SÃO PAULO/SP.</v>
      </c>
      <c r="I30" s="9" t="s">
        <v>358</v>
      </c>
      <c r="J30" s="17">
        <v>43770</v>
      </c>
      <c r="K30" s="10">
        <v>20</v>
      </c>
      <c r="L30" s="11">
        <v>21</v>
      </c>
      <c r="M30" s="57">
        <v>102.81</v>
      </c>
      <c r="N30" s="57">
        <v>0</v>
      </c>
      <c r="O30" s="57"/>
      <c r="P30" s="12">
        <v>0</v>
      </c>
      <c r="Q30" s="13">
        <v>0</v>
      </c>
      <c r="R30" s="14">
        <v>0</v>
      </c>
      <c r="S30" s="93">
        <f t="shared" si="0"/>
        <v>102.81</v>
      </c>
      <c r="T30" s="15"/>
      <c r="U30" s="15"/>
      <c r="V30" s="15"/>
    </row>
    <row r="31" spans="2:22" s="16" customFormat="1" ht="13.5" customHeight="1">
      <c r="B31" s="94">
        <v>27</v>
      </c>
      <c r="C31" s="334" t="s">
        <v>949</v>
      </c>
      <c r="D31" s="168" t="s">
        <v>327</v>
      </c>
      <c r="E31" s="238" t="s">
        <v>551</v>
      </c>
      <c r="F31" s="164" t="s">
        <v>328</v>
      </c>
      <c r="G31" s="210" t="s">
        <v>961</v>
      </c>
      <c r="H31" s="9" t="str">
        <f t="shared" si="1"/>
        <v>TRANSPORTE DE PACIENTE PRICA PARA IJUÍ</v>
      </c>
      <c r="I31" s="9" t="s">
        <v>962</v>
      </c>
      <c r="J31" s="17">
        <v>43770</v>
      </c>
      <c r="K31" s="10">
        <v>26</v>
      </c>
      <c r="L31" s="11">
        <v>26</v>
      </c>
      <c r="M31" s="57">
        <v>0</v>
      </c>
      <c r="N31" s="57">
        <v>0</v>
      </c>
      <c r="O31" s="57"/>
      <c r="P31" s="54">
        <v>136.5</v>
      </c>
      <c r="Q31" s="13">
        <v>0</v>
      </c>
      <c r="R31" s="14">
        <v>0</v>
      </c>
      <c r="S31" s="93">
        <f t="shared" si="0"/>
        <v>136.5</v>
      </c>
      <c r="T31" s="15"/>
      <c r="U31" s="15"/>
      <c r="V31" s="15"/>
    </row>
    <row r="32" spans="2:22" s="16" customFormat="1" ht="12.75" customHeight="1">
      <c r="B32" s="349">
        <v>28</v>
      </c>
      <c r="C32" s="350"/>
      <c r="D32" s="168" t="s">
        <v>963</v>
      </c>
      <c r="E32" s="238" t="s">
        <v>964</v>
      </c>
      <c r="F32" s="164" t="s">
        <v>965</v>
      </c>
      <c r="G32" s="210" t="s">
        <v>961</v>
      </c>
      <c r="H32" s="9" t="str">
        <f t="shared" si="1"/>
        <v>TRANSPORTE DE PACIENTE PRICA PARA IJUÍ</v>
      </c>
      <c r="I32" s="9" t="s">
        <v>962</v>
      </c>
      <c r="J32" s="17">
        <v>43771</v>
      </c>
      <c r="K32" s="10">
        <v>26</v>
      </c>
      <c r="L32" s="11">
        <v>26</v>
      </c>
      <c r="M32" s="57">
        <v>0</v>
      </c>
      <c r="N32" s="57">
        <v>0</v>
      </c>
      <c r="O32" s="208"/>
      <c r="P32" s="54">
        <v>50</v>
      </c>
      <c r="Q32" s="351">
        <v>0</v>
      </c>
      <c r="R32" s="352">
        <v>0</v>
      </c>
      <c r="S32" s="353">
        <f t="shared" si="0"/>
        <v>50</v>
      </c>
      <c r="T32" s="15"/>
      <c r="U32" s="15"/>
      <c r="V32" s="15"/>
    </row>
    <row r="33" spans="2:22" s="16" customFormat="1" ht="12.75" customHeight="1" thickBot="1">
      <c r="B33" s="95"/>
      <c r="C33" s="96"/>
      <c r="D33" s="97"/>
      <c r="E33" s="97"/>
      <c r="F33" s="97"/>
      <c r="G33" s="97"/>
      <c r="H33" s="97" t="str">
        <f t="shared" si="1"/>
        <v/>
      </c>
      <c r="I33" s="98"/>
      <c r="J33" s="99"/>
      <c r="K33" s="100"/>
      <c r="L33" s="101"/>
      <c r="M33" s="125"/>
      <c r="N33" s="125"/>
      <c r="O33" s="125"/>
      <c r="P33" s="116"/>
      <c r="Q33" s="103"/>
      <c r="R33" s="104"/>
      <c r="S33" s="105">
        <f t="shared" si="0"/>
        <v>0</v>
      </c>
      <c r="T33" s="15"/>
      <c r="U33" s="15"/>
      <c r="V33" s="15"/>
    </row>
    <row r="34" spans="2:22" s="30" customFormat="1" ht="24.75" customHeight="1">
      <c r="C34" s="31"/>
      <c r="D34" s="31"/>
      <c r="E34" s="31"/>
      <c r="F34" s="31"/>
      <c r="G34" s="31"/>
      <c r="H34" s="31"/>
      <c r="I34" s="33"/>
      <c r="J34" s="31"/>
      <c r="K34" s="19"/>
      <c r="L34" s="32"/>
      <c r="M34" s="35">
        <f t="shared" ref="M34:R34" si="2">SUM(M5:M33)</f>
        <v>1385.7199999999998</v>
      </c>
      <c r="N34" s="35">
        <f t="shared" si="2"/>
        <v>2334.7500000000005</v>
      </c>
      <c r="O34" s="35">
        <f t="shared" si="2"/>
        <v>0</v>
      </c>
      <c r="P34" s="120">
        <f t="shared" si="2"/>
        <v>717.32</v>
      </c>
      <c r="Q34" s="59">
        <f t="shared" si="2"/>
        <v>52832.989999999976</v>
      </c>
      <c r="R34" s="60">
        <f t="shared" si="2"/>
        <v>12656.86</v>
      </c>
      <c r="S34" s="58">
        <f>SUM(S5:S33)+P35</f>
        <v>69934.813200000004</v>
      </c>
    </row>
    <row r="35" spans="2:22" s="39" customFormat="1" ht="24.75" customHeight="1" thickBot="1">
      <c r="C35" s="40"/>
      <c r="D35" s="358"/>
      <c r="E35" s="358"/>
      <c r="F35" s="358"/>
      <c r="G35" s="358"/>
      <c r="H35" s="358"/>
      <c r="I35" s="358"/>
      <c r="J35" s="358"/>
      <c r="K35" s="358"/>
      <c r="L35" s="41"/>
      <c r="M35" s="42"/>
      <c r="N35" s="42"/>
      <c r="O35" s="87" t="s">
        <v>31</v>
      </c>
      <c r="P35" s="26">
        <f>P34*1%</f>
        <v>7.1732000000000005</v>
      </c>
      <c r="S35" s="43"/>
    </row>
    <row r="36" spans="2:22" s="39" customFormat="1" ht="24.75" customHeight="1" thickBot="1">
      <c r="C36" s="40"/>
      <c r="D36" s="147" t="s">
        <v>41</v>
      </c>
      <c r="E36" s="184"/>
      <c r="F36" s="184"/>
      <c r="G36" s="184"/>
      <c r="H36" s="184"/>
      <c r="I36" s="44"/>
      <c r="J36" s="40"/>
      <c r="K36" s="40"/>
      <c r="L36" s="41"/>
      <c r="M36" s="42"/>
      <c r="N36" s="42"/>
      <c r="O36" s="42"/>
      <c r="P36" s="89">
        <f>P34+P35</f>
        <v>724.4932</v>
      </c>
      <c r="Q36" s="45"/>
      <c r="R36" s="43"/>
      <c r="S36" s="46" t="s">
        <v>8</v>
      </c>
    </row>
    <row r="37" spans="2:22" s="39" customFormat="1" ht="24.75" customHeight="1">
      <c r="C37" s="40"/>
      <c r="D37" s="359"/>
      <c r="E37" s="359"/>
      <c r="F37" s="359"/>
      <c r="G37" s="359"/>
      <c r="H37" s="359"/>
      <c r="I37" s="359"/>
      <c r="J37" s="359"/>
      <c r="K37" s="359"/>
      <c r="L37" s="41"/>
      <c r="M37" s="42"/>
      <c r="N37" s="42"/>
      <c r="O37" s="42"/>
      <c r="P37" s="26"/>
      <c r="Q37" s="5" t="s">
        <v>7</v>
      </c>
      <c r="R37" s="138">
        <f>M34+N34+O34+P36+Q34+R34</f>
        <v>69934.813199999975</v>
      </c>
      <c r="S37" s="47">
        <f>S34-R37</f>
        <v>0</v>
      </c>
    </row>
    <row r="38" spans="2:22" ht="24.75" customHeight="1">
      <c r="C38" s="48"/>
      <c r="D38" s="49"/>
      <c r="E38" s="49"/>
      <c r="F38" s="49"/>
      <c r="G38" s="49"/>
      <c r="H38" s="49"/>
      <c r="I38" s="50"/>
      <c r="J38" s="51"/>
      <c r="K38" s="51"/>
      <c r="L38" s="51"/>
      <c r="O38" s="87" t="s">
        <v>31</v>
      </c>
      <c r="P38" s="26" t="s">
        <v>32</v>
      </c>
    </row>
    <row r="39" spans="2:22" ht="24.75" customHeight="1">
      <c r="C39" s="48"/>
      <c r="D39" s="49"/>
      <c r="E39" s="49"/>
      <c r="F39" s="49"/>
      <c r="G39" s="49"/>
      <c r="H39" s="49"/>
      <c r="I39" s="50"/>
      <c r="J39" s="51"/>
      <c r="K39" s="51"/>
      <c r="L39" s="51"/>
      <c r="P39" s="26"/>
    </row>
    <row r="40" spans="2:22" ht="24.75" customHeight="1">
      <c r="C40" s="48"/>
      <c r="D40" s="49"/>
      <c r="E40" s="49"/>
      <c r="F40" s="49"/>
      <c r="G40" s="49"/>
      <c r="H40" s="49"/>
      <c r="I40" s="50"/>
      <c r="J40" s="51"/>
      <c r="K40" s="51"/>
      <c r="L40" s="51"/>
      <c r="P40" s="26"/>
    </row>
    <row r="41" spans="2:22" ht="24.75" customHeight="1">
      <c r="C41" s="48"/>
      <c r="D41" s="49"/>
      <c r="E41" s="49"/>
      <c r="F41" s="49"/>
      <c r="G41" s="49"/>
      <c r="H41" s="49"/>
      <c r="I41" s="50"/>
      <c r="J41" s="51"/>
      <c r="K41" s="51"/>
      <c r="L41" s="51"/>
      <c r="P41" s="26"/>
    </row>
    <row r="42" spans="2:22" ht="24.75" customHeight="1">
      <c r="C42" s="48"/>
      <c r="D42" s="49"/>
      <c r="E42" s="49"/>
      <c r="F42" s="49"/>
      <c r="G42" s="49"/>
      <c r="H42" s="49"/>
      <c r="I42" s="50"/>
      <c r="J42" s="51"/>
      <c r="K42" s="51"/>
      <c r="L42" s="51"/>
      <c r="P42" s="26"/>
    </row>
    <row r="43" spans="2:22" ht="24.75" customHeight="1">
      <c r="C43" s="48"/>
      <c r="D43" s="49"/>
      <c r="E43" s="49"/>
      <c r="F43" s="49"/>
      <c r="G43" s="49"/>
      <c r="H43" s="49"/>
      <c r="I43" s="50"/>
      <c r="J43" s="51"/>
      <c r="K43" s="51"/>
      <c r="L43" s="51"/>
      <c r="P43" s="26"/>
    </row>
    <row r="44" spans="2:22" ht="24.75" customHeight="1">
      <c r="C44" s="48"/>
      <c r="D44" s="49"/>
      <c r="E44" s="49"/>
      <c r="F44" s="49"/>
      <c r="G44" s="49"/>
      <c r="H44" s="49"/>
      <c r="I44" s="50"/>
      <c r="J44" s="51"/>
      <c r="K44" s="51"/>
      <c r="L44" s="51"/>
      <c r="P44" s="26"/>
    </row>
    <row r="45" spans="2:22" ht="24.75" customHeight="1">
      <c r="C45" s="48"/>
      <c r="D45" s="49"/>
      <c r="E45" s="49"/>
      <c r="F45" s="49"/>
      <c r="G45" s="49"/>
      <c r="H45" s="49"/>
      <c r="I45" s="50"/>
      <c r="J45" s="51"/>
      <c r="K45" s="51"/>
      <c r="L45" s="51"/>
      <c r="P45" s="26"/>
    </row>
    <row r="46" spans="2:22" ht="24.75" customHeight="1">
      <c r="C46" s="48"/>
      <c r="I46" s="50"/>
      <c r="J46" s="51"/>
      <c r="K46" s="51"/>
      <c r="L46" s="51"/>
      <c r="P46" s="26"/>
    </row>
    <row r="47" spans="2:22" ht="24.75" customHeight="1">
      <c r="C47" s="48"/>
      <c r="D47" s="49"/>
      <c r="E47" s="49"/>
      <c r="F47" s="49"/>
      <c r="G47" s="49"/>
      <c r="H47" s="49"/>
      <c r="I47" s="50"/>
      <c r="J47" s="51"/>
      <c r="K47" s="51"/>
      <c r="L47" s="51"/>
      <c r="P47" s="26"/>
    </row>
    <row r="48" spans="2:22" ht="24.75" customHeight="1">
      <c r="C48" s="48"/>
      <c r="D48" s="49"/>
      <c r="E48" s="49"/>
      <c r="F48" s="49"/>
      <c r="G48" s="49"/>
      <c r="H48" s="49"/>
      <c r="I48" s="50"/>
      <c r="J48" s="51"/>
      <c r="K48" s="51"/>
      <c r="L48" s="51"/>
      <c r="P48" s="52"/>
    </row>
    <row r="49" spans="3:19" ht="24.75" customHeight="1">
      <c r="C49" s="48"/>
      <c r="D49" s="49"/>
      <c r="E49" s="49"/>
      <c r="F49" s="49"/>
      <c r="G49" s="49"/>
      <c r="H49" s="49"/>
      <c r="I49" s="50"/>
      <c r="J49" s="51"/>
      <c r="K49" s="51"/>
      <c r="L49" s="51"/>
      <c r="P49" s="39"/>
      <c r="Q49"/>
      <c r="R49"/>
      <c r="S49"/>
    </row>
    <row r="50" spans="3:19" ht="24.75" customHeight="1">
      <c r="C50" s="48"/>
      <c r="D50" s="49"/>
      <c r="E50" s="49"/>
      <c r="F50" s="49"/>
      <c r="G50" s="49"/>
      <c r="H50" s="49"/>
      <c r="I50" s="50"/>
      <c r="J50" s="51"/>
      <c r="K50" s="51"/>
      <c r="L50" s="51"/>
      <c r="P50" s="39"/>
      <c r="Q50"/>
      <c r="R50"/>
      <c r="S50"/>
    </row>
    <row r="51" spans="3:19" ht="24.75" customHeight="1">
      <c r="C51" s="48"/>
      <c r="D51" s="49"/>
      <c r="E51" s="49"/>
      <c r="F51" s="49"/>
      <c r="G51" s="49"/>
      <c r="H51" s="49"/>
      <c r="I51" s="50"/>
      <c r="J51" s="51"/>
      <c r="K51" s="51"/>
      <c r="L51" s="51"/>
      <c r="P51" s="39"/>
      <c r="Q51"/>
      <c r="R51"/>
      <c r="S51"/>
    </row>
    <row r="52" spans="3:19" ht="24.75" customHeight="1">
      <c r="C52" s="48"/>
      <c r="D52" s="49"/>
      <c r="E52" s="49"/>
      <c r="F52" s="49"/>
      <c r="G52" s="49"/>
      <c r="H52" s="49"/>
      <c r="I52" s="50"/>
      <c r="J52" s="51"/>
      <c r="K52" s="51"/>
      <c r="L52" s="51"/>
      <c r="Q52"/>
      <c r="R52"/>
      <c r="S52"/>
    </row>
    <row r="53" spans="3:19" ht="24.75" customHeight="1">
      <c r="C53" s="48"/>
      <c r="D53" s="49"/>
      <c r="E53" s="49"/>
      <c r="F53" s="49"/>
      <c r="G53" s="49"/>
      <c r="H53" s="49"/>
      <c r="I53" s="50"/>
      <c r="J53" s="51"/>
      <c r="K53" s="51"/>
      <c r="L53" s="51"/>
      <c r="Q53"/>
      <c r="R53"/>
      <c r="S53"/>
    </row>
    <row r="54" spans="3:19" ht="24.75" customHeight="1">
      <c r="C54" s="48"/>
      <c r="D54" s="49"/>
      <c r="E54" s="49"/>
      <c r="F54" s="49"/>
      <c r="G54" s="49"/>
      <c r="H54" s="49"/>
      <c r="I54" s="50"/>
      <c r="J54" s="51"/>
      <c r="K54" s="51"/>
      <c r="L54" s="51"/>
      <c r="Q54"/>
      <c r="R54"/>
      <c r="S54"/>
    </row>
    <row r="55" spans="3:19" ht="24.75" customHeight="1">
      <c r="C55" s="48"/>
      <c r="D55" s="49"/>
      <c r="E55" s="49"/>
      <c r="F55" s="49"/>
      <c r="G55" s="49"/>
      <c r="H55" s="49"/>
      <c r="I55" s="50"/>
      <c r="J55" s="51"/>
      <c r="K55" s="51"/>
      <c r="L55" s="51"/>
      <c r="Q55"/>
      <c r="R55"/>
      <c r="S55"/>
    </row>
    <row r="56" spans="3:19" ht="24.75" customHeight="1">
      <c r="C56" s="48"/>
      <c r="D56" s="49"/>
      <c r="E56" s="49"/>
      <c r="F56" s="49"/>
      <c r="G56" s="49"/>
      <c r="H56" s="49"/>
      <c r="I56" s="50"/>
      <c r="J56" s="51"/>
      <c r="K56" s="51"/>
      <c r="L56" s="51"/>
      <c r="Q56"/>
      <c r="R56"/>
      <c r="S56"/>
    </row>
    <row r="57" spans="3:19" ht="24.75" customHeight="1">
      <c r="C57" s="48"/>
      <c r="D57" s="49"/>
      <c r="E57" s="49"/>
      <c r="F57" s="49"/>
      <c r="G57" s="49"/>
      <c r="H57" s="49"/>
      <c r="I57" s="50"/>
      <c r="J57" s="51"/>
      <c r="K57" s="51"/>
      <c r="L57" s="51"/>
      <c r="Q57"/>
      <c r="R57"/>
      <c r="S57"/>
    </row>
    <row r="58" spans="3:19" ht="24.75" customHeight="1">
      <c r="C58" s="48"/>
      <c r="D58" s="49"/>
      <c r="E58" s="49"/>
      <c r="F58" s="49"/>
      <c r="G58" s="49"/>
      <c r="H58" s="49"/>
      <c r="I58" s="50"/>
      <c r="J58" s="51"/>
      <c r="K58" s="51"/>
      <c r="L58" s="51"/>
      <c r="Q58"/>
      <c r="R58"/>
      <c r="S58"/>
    </row>
    <row r="59" spans="3:19" ht="24.75" customHeight="1">
      <c r="C59" s="48"/>
      <c r="D59" s="49"/>
      <c r="E59" s="49"/>
      <c r="F59" s="49"/>
      <c r="G59" s="49"/>
      <c r="H59" s="49"/>
      <c r="I59" s="50"/>
      <c r="J59" s="51"/>
      <c r="K59" s="51"/>
      <c r="L59" s="51"/>
      <c r="Q59"/>
      <c r="R59"/>
      <c r="S59"/>
    </row>
    <row r="60" spans="3:19" ht="24.75" customHeight="1">
      <c r="C60" s="48"/>
      <c r="D60" s="49"/>
      <c r="E60" s="49"/>
      <c r="F60" s="49"/>
      <c r="G60" s="49"/>
      <c r="H60" s="49"/>
      <c r="I60" s="50"/>
      <c r="J60" s="51"/>
      <c r="K60" s="51"/>
      <c r="L60" s="51"/>
      <c r="Q60"/>
      <c r="R60"/>
      <c r="S60"/>
    </row>
    <row r="61" spans="3:19" ht="24.75" customHeight="1">
      <c r="C61" s="48"/>
      <c r="D61" s="49"/>
      <c r="E61" s="49"/>
      <c r="F61" s="49"/>
      <c r="G61" s="49"/>
      <c r="H61" s="49"/>
      <c r="I61" s="50"/>
      <c r="J61" s="51"/>
      <c r="K61" s="51"/>
      <c r="L61" s="51"/>
      <c r="Q61"/>
      <c r="R61"/>
      <c r="S61"/>
    </row>
    <row r="62" spans="3:19" ht="24.75" customHeight="1">
      <c r="C62" s="48"/>
      <c r="D62" s="49"/>
      <c r="E62" s="49"/>
      <c r="F62" s="49"/>
      <c r="G62" s="49"/>
      <c r="H62" s="49"/>
      <c r="I62" s="50"/>
      <c r="J62" s="51"/>
      <c r="K62" s="51"/>
      <c r="L62" s="51"/>
      <c r="Q62"/>
      <c r="R62"/>
      <c r="S62"/>
    </row>
    <row r="63" spans="3:19" ht="24.75" customHeight="1">
      <c r="C63" s="48"/>
      <c r="D63" s="49"/>
      <c r="E63" s="49"/>
      <c r="F63" s="49"/>
      <c r="G63" s="49"/>
      <c r="H63" s="49"/>
      <c r="I63" s="50"/>
      <c r="J63" s="51"/>
      <c r="K63" s="51"/>
      <c r="L63" s="51"/>
      <c r="Q63"/>
      <c r="R63"/>
      <c r="S63"/>
    </row>
    <row r="64" spans="3:19" ht="24.75" customHeight="1">
      <c r="C64" s="48"/>
      <c r="D64" s="49"/>
      <c r="E64" s="49"/>
      <c r="F64" s="49"/>
      <c r="G64" s="49"/>
      <c r="H64" s="49"/>
      <c r="I64" s="50"/>
      <c r="J64" s="51"/>
      <c r="K64" s="51"/>
      <c r="L64" s="51"/>
      <c r="Q64"/>
      <c r="R64"/>
      <c r="S64"/>
    </row>
    <row r="65" spans="3:19" ht="24.75" customHeight="1">
      <c r="C65" s="48"/>
      <c r="D65" s="49"/>
      <c r="E65" s="49"/>
      <c r="F65" s="49"/>
      <c r="G65" s="49"/>
      <c r="H65" s="49"/>
      <c r="I65" s="50"/>
      <c r="J65" s="51"/>
      <c r="K65" s="51"/>
      <c r="L65" s="51"/>
      <c r="M65"/>
      <c r="N65"/>
      <c r="O65"/>
      <c r="Q65"/>
      <c r="R65"/>
      <c r="S65"/>
    </row>
    <row r="66" spans="3:19" ht="24.75" customHeight="1">
      <c r="C66" s="48"/>
      <c r="D66" s="49"/>
      <c r="E66" s="49"/>
      <c r="F66" s="49"/>
      <c r="G66" s="49"/>
      <c r="H66" s="49"/>
      <c r="I66" s="50"/>
      <c r="J66" s="51"/>
      <c r="K66" s="51"/>
      <c r="L66" s="51"/>
      <c r="M66"/>
      <c r="N66"/>
      <c r="O66"/>
      <c r="Q66"/>
      <c r="R66"/>
      <c r="S66"/>
    </row>
    <row r="67" spans="3:19" ht="24.75" customHeight="1">
      <c r="C67" s="48"/>
      <c r="D67" s="49"/>
      <c r="E67" s="49"/>
      <c r="F67" s="49"/>
      <c r="G67" s="49"/>
      <c r="H67" s="49"/>
      <c r="I67" s="50"/>
      <c r="J67" s="51"/>
      <c r="K67" s="51"/>
      <c r="L67" s="51"/>
      <c r="M67"/>
      <c r="N67"/>
      <c r="O67"/>
      <c r="Q67"/>
      <c r="R67"/>
      <c r="S67"/>
    </row>
    <row r="68" spans="3:19" ht="24.75" customHeight="1">
      <c r="C68" s="48"/>
      <c r="D68" s="49"/>
      <c r="E68" s="49"/>
      <c r="F68" s="49"/>
      <c r="G68" s="49"/>
      <c r="H68" s="49"/>
      <c r="I68" s="50"/>
      <c r="J68" s="51"/>
      <c r="K68" s="51"/>
      <c r="L68" s="51"/>
      <c r="M68"/>
      <c r="N68"/>
      <c r="O68"/>
      <c r="Q68"/>
      <c r="R68"/>
      <c r="S68"/>
    </row>
    <row r="69" spans="3:19" ht="24.75" customHeight="1">
      <c r="C69" s="48"/>
      <c r="D69" s="49"/>
      <c r="E69" s="49"/>
      <c r="F69" s="49"/>
      <c r="G69" s="49"/>
      <c r="H69" s="49"/>
      <c r="I69" s="50"/>
      <c r="J69" s="51"/>
      <c r="K69" s="51"/>
      <c r="L69" s="51"/>
      <c r="M69"/>
      <c r="N69"/>
      <c r="O69"/>
      <c r="Q69"/>
      <c r="R69"/>
      <c r="S69"/>
    </row>
    <row r="70" spans="3:19" ht="24.75" customHeight="1">
      <c r="C70" s="48"/>
      <c r="D70" s="49"/>
      <c r="E70" s="49"/>
      <c r="F70" s="49"/>
      <c r="G70" s="49"/>
      <c r="H70" s="49"/>
      <c r="I70" s="50"/>
      <c r="J70" s="51"/>
      <c r="K70" s="51"/>
      <c r="L70" s="51"/>
      <c r="M70"/>
      <c r="N70"/>
      <c r="O70"/>
      <c r="Q70"/>
      <c r="R70"/>
      <c r="S70"/>
    </row>
    <row r="71" spans="3:19" ht="24.75" customHeight="1">
      <c r="C71" s="48"/>
      <c r="D71" s="49"/>
      <c r="E71" s="49"/>
      <c r="F71" s="49"/>
      <c r="G71" s="49"/>
      <c r="H71" s="49"/>
      <c r="I71" s="50"/>
      <c r="J71" s="51"/>
      <c r="K71" s="51"/>
      <c r="L71" s="51"/>
      <c r="M71"/>
      <c r="N71"/>
      <c r="O71"/>
      <c r="Q71"/>
      <c r="R71"/>
      <c r="S71"/>
    </row>
    <row r="72" spans="3:19" ht="24.75" customHeight="1">
      <c r="C72" s="48"/>
      <c r="D72" s="49"/>
      <c r="E72" s="49"/>
      <c r="F72" s="49"/>
      <c r="G72" s="49"/>
      <c r="H72" s="49"/>
      <c r="I72" s="50"/>
      <c r="J72" s="51"/>
      <c r="K72" s="51"/>
      <c r="L72" s="51"/>
      <c r="M72"/>
      <c r="N72"/>
      <c r="O72"/>
      <c r="Q72"/>
      <c r="R72"/>
      <c r="S72"/>
    </row>
    <row r="73" spans="3:19" ht="24.75" customHeight="1">
      <c r="C73" s="48"/>
      <c r="D73" s="49"/>
      <c r="E73" s="49"/>
      <c r="F73" s="49"/>
      <c r="G73" s="49"/>
      <c r="H73" s="49"/>
      <c r="I73" s="50"/>
      <c r="J73" s="51"/>
      <c r="K73" s="51"/>
      <c r="L73" s="51"/>
      <c r="M73"/>
      <c r="N73"/>
      <c r="O73"/>
      <c r="Q73"/>
      <c r="R73"/>
      <c r="S73"/>
    </row>
    <row r="74" spans="3:19" ht="24.75" customHeight="1">
      <c r="C74" s="48"/>
      <c r="D74" s="49"/>
      <c r="E74" s="49"/>
      <c r="F74" s="49"/>
      <c r="G74" s="49"/>
      <c r="H74" s="49"/>
      <c r="I74" s="50"/>
      <c r="J74" s="51"/>
      <c r="K74" s="51"/>
      <c r="L74" s="51"/>
      <c r="M74"/>
      <c r="N74"/>
      <c r="O74"/>
      <c r="Q74"/>
      <c r="R74"/>
      <c r="S74"/>
    </row>
    <row r="75" spans="3:19" ht="24.75" customHeight="1">
      <c r="C75" s="48"/>
      <c r="D75" s="49"/>
      <c r="E75" s="49"/>
      <c r="F75" s="49"/>
      <c r="G75" s="49"/>
      <c r="H75" s="49"/>
      <c r="I75" s="50"/>
      <c r="J75" s="51"/>
      <c r="K75" s="51"/>
      <c r="L75" s="51"/>
      <c r="M75"/>
      <c r="N75"/>
      <c r="O75"/>
      <c r="Q75"/>
      <c r="R75"/>
      <c r="S75"/>
    </row>
    <row r="76" spans="3:19" ht="24.75" customHeight="1">
      <c r="C76" s="48"/>
      <c r="D76" s="49"/>
      <c r="E76" s="49"/>
      <c r="F76" s="49"/>
      <c r="G76" s="49"/>
      <c r="H76" s="49"/>
      <c r="I76" s="50"/>
      <c r="J76" s="51"/>
      <c r="K76" s="51"/>
      <c r="L76" s="51"/>
      <c r="M76"/>
      <c r="N76"/>
      <c r="O76"/>
      <c r="Q76"/>
      <c r="R76"/>
      <c r="S76"/>
    </row>
    <row r="77" spans="3:19" ht="24.75" customHeight="1">
      <c r="C77" s="48"/>
      <c r="D77" s="49"/>
      <c r="E77" s="49"/>
      <c r="F77" s="49"/>
      <c r="G77" s="49"/>
      <c r="H77" s="49"/>
      <c r="I77" s="50"/>
      <c r="J77" s="51"/>
      <c r="K77" s="51"/>
      <c r="L77" s="51"/>
      <c r="M77"/>
      <c r="N77"/>
      <c r="O77"/>
      <c r="Q77"/>
      <c r="R77"/>
      <c r="S77"/>
    </row>
    <row r="78" spans="3:19" ht="24.75" customHeight="1">
      <c r="C78" s="48"/>
      <c r="D78" s="49"/>
      <c r="E78" s="49"/>
      <c r="F78" s="49"/>
      <c r="G78" s="49"/>
      <c r="H78" s="49"/>
      <c r="I78" s="50"/>
      <c r="J78" s="51"/>
      <c r="K78" s="51"/>
      <c r="L78" s="51"/>
      <c r="M78"/>
      <c r="N78"/>
      <c r="O78"/>
      <c r="Q78"/>
      <c r="R78"/>
      <c r="S78"/>
    </row>
    <row r="79" spans="3:19" ht="24.75" customHeight="1">
      <c r="C79" s="48"/>
      <c r="D79" s="49"/>
      <c r="E79" s="49"/>
      <c r="F79" s="49"/>
      <c r="G79" s="49"/>
      <c r="H79" s="49"/>
      <c r="I79" s="50"/>
      <c r="J79" s="51"/>
      <c r="K79" s="51"/>
      <c r="L79" s="51"/>
      <c r="M79"/>
      <c r="N79"/>
      <c r="O79"/>
      <c r="Q79"/>
      <c r="R79"/>
      <c r="S79"/>
    </row>
    <row r="80" spans="3:19" ht="24.75" customHeight="1">
      <c r="C80" s="48"/>
      <c r="D80" s="49"/>
      <c r="E80" s="49"/>
      <c r="F80" s="49"/>
      <c r="G80" s="49"/>
      <c r="H80" s="49"/>
      <c r="I80" s="50"/>
      <c r="J80" s="51"/>
      <c r="K80" s="51"/>
      <c r="L80" s="51"/>
      <c r="M80"/>
      <c r="N80"/>
      <c r="O80"/>
      <c r="Q80"/>
      <c r="R80"/>
      <c r="S80"/>
    </row>
    <row r="81" spans="3:19" ht="24.75" customHeight="1">
      <c r="C81" s="48"/>
      <c r="D81" s="49"/>
      <c r="E81" s="49"/>
      <c r="F81" s="49"/>
      <c r="G81" s="49"/>
      <c r="H81" s="49"/>
      <c r="I81" s="50"/>
      <c r="J81" s="51"/>
      <c r="K81" s="51"/>
      <c r="L81" s="51"/>
      <c r="M81"/>
      <c r="N81"/>
      <c r="O81"/>
      <c r="Q81"/>
      <c r="R81"/>
      <c r="S81"/>
    </row>
    <row r="82" spans="3:19" ht="24.75" customHeight="1">
      <c r="C82" s="48"/>
      <c r="D82" s="49"/>
      <c r="E82" s="49"/>
      <c r="F82" s="49"/>
      <c r="G82" s="49"/>
      <c r="H82" s="49"/>
      <c r="I82" s="50"/>
      <c r="J82" s="51"/>
      <c r="K82" s="51"/>
      <c r="L82" s="51"/>
      <c r="M82"/>
      <c r="N82"/>
      <c r="O82"/>
      <c r="Q82"/>
      <c r="R82"/>
      <c r="S82"/>
    </row>
    <row r="83" spans="3:19" ht="24.75" customHeight="1">
      <c r="C83" s="48"/>
      <c r="D83" s="49"/>
      <c r="E83" s="49"/>
      <c r="F83" s="49"/>
      <c r="G83" s="49"/>
      <c r="H83" s="49"/>
      <c r="I83" s="50"/>
      <c r="J83" s="51"/>
      <c r="K83" s="51"/>
      <c r="L83" s="51"/>
      <c r="M83"/>
      <c r="N83"/>
      <c r="O83"/>
      <c r="Q83"/>
      <c r="R83"/>
      <c r="S83"/>
    </row>
    <row r="84" spans="3:19" ht="24.75" customHeight="1">
      <c r="C84" s="48"/>
      <c r="D84" s="49"/>
      <c r="E84" s="49"/>
      <c r="F84" s="49"/>
      <c r="G84" s="49"/>
      <c r="H84" s="49"/>
      <c r="I84" s="50"/>
      <c r="J84" s="51"/>
      <c r="K84" s="51"/>
      <c r="L84" s="51"/>
      <c r="M84"/>
      <c r="N84"/>
      <c r="O84"/>
      <c r="Q84"/>
      <c r="R84"/>
      <c r="S84"/>
    </row>
    <row r="85" spans="3:19" ht="24.75" customHeight="1">
      <c r="C85" s="48"/>
      <c r="D85" s="49"/>
      <c r="E85" s="49"/>
      <c r="F85" s="49"/>
      <c r="G85" s="49"/>
      <c r="H85" s="49"/>
      <c r="I85" s="50"/>
      <c r="J85" s="51"/>
      <c r="K85" s="51"/>
      <c r="L85" s="51"/>
      <c r="M85"/>
      <c r="N85"/>
      <c r="O85"/>
      <c r="Q85"/>
      <c r="R85"/>
      <c r="S85"/>
    </row>
    <row r="86" spans="3:19" ht="24.75" customHeight="1">
      <c r="C86" s="48"/>
      <c r="D86" s="49"/>
      <c r="E86" s="49"/>
      <c r="F86" s="49"/>
      <c r="G86" s="49"/>
      <c r="H86" s="49"/>
      <c r="I86" s="50"/>
      <c r="J86" s="51"/>
      <c r="K86" s="51"/>
      <c r="L86" s="51"/>
      <c r="M86"/>
      <c r="N86"/>
      <c r="O86"/>
      <c r="Q86"/>
      <c r="R86"/>
      <c r="S86"/>
    </row>
    <row r="87" spans="3:19" ht="24.75" customHeight="1">
      <c r="C87" s="48"/>
      <c r="D87" s="49"/>
      <c r="E87" s="49"/>
      <c r="F87" s="49"/>
      <c r="G87" s="49"/>
      <c r="H87" s="49"/>
      <c r="I87" s="50"/>
      <c r="J87" s="51"/>
      <c r="K87" s="51"/>
      <c r="L87" s="51"/>
      <c r="M87"/>
      <c r="N87"/>
      <c r="O87"/>
      <c r="Q87"/>
      <c r="R87"/>
      <c r="S87"/>
    </row>
    <row r="88" spans="3:19" ht="24.75" customHeight="1">
      <c r="C88" s="48"/>
      <c r="D88" s="49"/>
      <c r="E88" s="49"/>
      <c r="F88" s="49"/>
      <c r="G88" s="49"/>
      <c r="H88" s="49"/>
      <c r="I88" s="50"/>
      <c r="J88" s="51"/>
      <c r="K88" s="51"/>
      <c r="L88" s="51"/>
      <c r="M88"/>
      <c r="N88"/>
      <c r="O88"/>
      <c r="Q88"/>
      <c r="R88"/>
      <c r="S88"/>
    </row>
    <row r="89" spans="3:19" ht="24.75" customHeight="1">
      <c r="C89" s="48"/>
      <c r="D89" s="49"/>
      <c r="E89" s="49"/>
      <c r="F89" s="49"/>
      <c r="G89" s="49"/>
      <c r="H89" s="49"/>
      <c r="I89" s="50"/>
      <c r="J89" s="51"/>
      <c r="K89" s="51"/>
      <c r="L89" s="51"/>
      <c r="M89"/>
      <c r="N89"/>
      <c r="O89"/>
      <c r="Q89"/>
      <c r="R89"/>
      <c r="S89"/>
    </row>
    <row r="90" spans="3:19" ht="24.75" customHeight="1">
      <c r="C90" s="48"/>
      <c r="D90" s="49"/>
      <c r="E90" s="49"/>
      <c r="F90" s="49"/>
      <c r="G90" s="49"/>
      <c r="H90" s="49"/>
      <c r="I90" s="50"/>
      <c r="J90" s="51"/>
      <c r="K90" s="51"/>
      <c r="L90" s="51"/>
      <c r="M90"/>
      <c r="N90"/>
      <c r="O90"/>
      <c r="Q90"/>
      <c r="R90"/>
      <c r="S90"/>
    </row>
    <row r="91" spans="3:19" ht="24.75" customHeight="1">
      <c r="C91" s="48"/>
      <c r="D91" s="49"/>
      <c r="E91" s="49"/>
      <c r="F91" s="49"/>
      <c r="G91" s="49"/>
      <c r="H91" s="49"/>
      <c r="I91" s="50"/>
      <c r="J91" s="51"/>
      <c r="K91" s="51"/>
      <c r="L91" s="51"/>
      <c r="M91"/>
      <c r="N91"/>
      <c r="O91"/>
      <c r="Q91"/>
      <c r="R91"/>
      <c r="S91"/>
    </row>
    <row r="92" spans="3:19" ht="24.75" customHeight="1">
      <c r="C92" s="48"/>
      <c r="D92" s="49"/>
      <c r="E92" s="49"/>
      <c r="F92" s="49"/>
      <c r="G92" s="49"/>
      <c r="H92" s="49"/>
      <c r="I92" s="50"/>
      <c r="J92" s="51"/>
      <c r="K92" s="51"/>
      <c r="L92" s="51"/>
      <c r="M92"/>
      <c r="N92"/>
      <c r="O92"/>
      <c r="Q92"/>
      <c r="R92"/>
      <c r="S92"/>
    </row>
    <row r="93" spans="3:19" ht="24.75" customHeight="1">
      <c r="C93" s="48"/>
      <c r="D93" s="49"/>
      <c r="E93" s="49"/>
      <c r="F93" s="49"/>
      <c r="G93" s="49"/>
      <c r="H93" s="49"/>
      <c r="I93" s="50"/>
      <c r="J93" s="51"/>
      <c r="K93" s="51"/>
      <c r="L93" s="51"/>
      <c r="M93"/>
      <c r="N93"/>
      <c r="O93"/>
      <c r="Q93"/>
      <c r="R93"/>
      <c r="S93"/>
    </row>
    <row r="94" spans="3:19" ht="24.75" customHeight="1">
      <c r="C94" s="48"/>
      <c r="D94" s="49"/>
      <c r="E94" s="49"/>
      <c r="F94" s="49"/>
      <c r="G94" s="49"/>
      <c r="H94" s="49"/>
      <c r="I94" s="50"/>
      <c r="J94" s="51"/>
      <c r="K94" s="51"/>
      <c r="L94" s="51"/>
      <c r="M94"/>
      <c r="N94"/>
      <c r="O94"/>
      <c r="Q94"/>
      <c r="R94"/>
      <c r="S94"/>
    </row>
    <row r="95" spans="3:19" ht="24.75" customHeight="1">
      <c r="C95" s="48"/>
      <c r="D95" s="49"/>
      <c r="E95" s="49"/>
      <c r="F95" s="49"/>
      <c r="G95" s="49"/>
      <c r="H95" s="49"/>
      <c r="I95" s="50"/>
      <c r="J95" s="51"/>
      <c r="K95" s="51"/>
      <c r="L95" s="51"/>
      <c r="M95"/>
      <c r="N95"/>
      <c r="O95"/>
      <c r="Q95"/>
      <c r="R95"/>
      <c r="S95"/>
    </row>
    <row r="96" spans="3:19" ht="24.75" customHeight="1">
      <c r="C96" s="48"/>
      <c r="D96" s="49"/>
      <c r="E96" s="49"/>
      <c r="F96" s="49"/>
      <c r="G96" s="49"/>
      <c r="H96" s="49"/>
      <c r="I96" s="50"/>
      <c r="J96" s="51"/>
      <c r="K96" s="51"/>
      <c r="L96" s="51"/>
      <c r="M96"/>
      <c r="N96"/>
      <c r="O96"/>
      <c r="Q96"/>
      <c r="R96"/>
      <c r="S96"/>
    </row>
    <row r="97" spans="3:19" ht="24.75" customHeight="1">
      <c r="C97" s="48"/>
      <c r="D97" s="49"/>
      <c r="E97" s="49"/>
      <c r="F97" s="49"/>
      <c r="G97" s="49"/>
      <c r="H97" s="49"/>
      <c r="I97" s="50"/>
      <c r="J97" s="51"/>
      <c r="K97" s="51"/>
      <c r="L97" s="51"/>
      <c r="M97"/>
      <c r="N97"/>
      <c r="O97"/>
      <c r="Q97"/>
      <c r="R97"/>
      <c r="S97"/>
    </row>
    <row r="98" spans="3:19" ht="24.75" customHeight="1">
      <c r="C98" s="48"/>
      <c r="D98" s="49"/>
      <c r="E98" s="49"/>
      <c r="F98" s="49"/>
      <c r="G98" s="49"/>
      <c r="H98" s="49"/>
      <c r="I98" s="50"/>
      <c r="J98" s="51"/>
      <c r="K98" s="51"/>
      <c r="L98" s="51"/>
      <c r="M98"/>
      <c r="N98"/>
      <c r="O98"/>
      <c r="Q98"/>
      <c r="R98"/>
      <c r="S98"/>
    </row>
    <row r="99" spans="3:19" ht="24.75" customHeight="1">
      <c r="C99" s="48"/>
      <c r="D99" s="49"/>
      <c r="E99" s="49"/>
      <c r="F99" s="49"/>
      <c r="G99" s="49"/>
      <c r="H99" s="49"/>
      <c r="I99" s="50"/>
      <c r="J99" s="51"/>
      <c r="K99" s="51"/>
      <c r="L99" s="51"/>
      <c r="M99"/>
      <c r="N99"/>
      <c r="O99"/>
      <c r="Q99"/>
      <c r="R99"/>
      <c r="S99"/>
    </row>
    <row r="100" spans="3:19" ht="24.75" customHeight="1">
      <c r="C100" s="48"/>
      <c r="D100" s="49"/>
      <c r="E100" s="49"/>
      <c r="F100" s="49"/>
      <c r="G100" s="49"/>
      <c r="H100" s="49"/>
      <c r="I100" s="50"/>
      <c r="J100" s="51"/>
      <c r="K100" s="51"/>
      <c r="L100" s="51"/>
      <c r="M100"/>
      <c r="N100"/>
      <c r="O100"/>
      <c r="Q100"/>
      <c r="R100"/>
      <c r="S100"/>
    </row>
    <row r="101" spans="3:19" ht="24.75" customHeight="1">
      <c r="C101" s="48"/>
      <c r="D101" s="49"/>
      <c r="E101" s="49"/>
      <c r="F101" s="49"/>
      <c r="G101" s="49"/>
      <c r="H101" s="49"/>
      <c r="I101" s="50"/>
      <c r="J101" s="51"/>
      <c r="K101" s="51"/>
      <c r="L101" s="51"/>
      <c r="M101"/>
      <c r="N101"/>
      <c r="O101"/>
      <c r="Q101"/>
      <c r="R101"/>
      <c r="S101"/>
    </row>
    <row r="102" spans="3:19" ht="24.75" customHeight="1">
      <c r="C102" s="48"/>
      <c r="D102" s="49"/>
      <c r="E102" s="49"/>
      <c r="F102" s="49"/>
      <c r="G102" s="49"/>
      <c r="H102" s="49"/>
      <c r="I102" s="50"/>
      <c r="J102" s="51"/>
      <c r="K102" s="51"/>
      <c r="L102" s="51"/>
      <c r="M102"/>
      <c r="N102"/>
      <c r="O102"/>
      <c r="Q102"/>
      <c r="R102"/>
      <c r="S102"/>
    </row>
    <row r="103" spans="3:19" ht="24.75" customHeight="1">
      <c r="C103" s="48"/>
      <c r="D103" s="49"/>
      <c r="E103" s="49"/>
      <c r="F103" s="49"/>
      <c r="G103" s="49"/>
      <c r="H103" s="49"/>
      <c r="I103" s="50"/>
      <c r="J103" s="51"/>
      <c r="K103" s="51"/>
      <c r="L103" s="51"/>
      <c r="M103"/>
      <c r="N103"/>
      <c r="O103"/>
      <c r="Q103"/>
      <c r="R103"/>
      <c r="S103"/>
    </row>
    <row r="104" spans="3:19" ht="24.75" customHeight="1">
      <c r="C104" s="48"/>
      <c r="D104" s="49"/>
      <c r="E104" s="49"/>
      <c r="F104" s="49"/>
      <c r="G104" s="49"/>
      <c r="H104" s="49"/>
      <c r="I104" s="50"/>
      <c r="J104" s="51"/>
      <c r="K104" s="51"/>
      <c r="L104" s="51"/>
      <c r="M104"/>
      <c r="N104"/>
      <c r="O104"/>
      <c r="Q104"/>
      <c r="R104"/>
      <c r="S104"/>
    </row>
    <row r="105" spans="3:19" ht="24.75" customHeight="1">
      <c r="C105" s="48"/>
      <c r="D105" s="49"/>
      <c r="E105" s="49"/>
      <c r="F105" s="49"/>
      <c r="G105" s="49"/>
      <c r="H105" s="49"/>
      <c r="I105" s="50"/>
      <c r="J105" s="51"/>
      <c r="K105" s="51"/>
      <c r="L105" s="51"/>
      <c r="M105"/>
      <c r="N105"/>
      <c r="O105"/>
      <c r="Q105"/>
      <c r="R105"/>
      <c r="S105"/>
    </row>
    <row r="106" spans="3:19" ht="24.75" customHeight="1">
      <c r="C106" s="48"/>
      <c r="D106" s="49"/>
      <c r="E106" s="49"/>
      <c r="F106" s="49"/>
      <c r="G106" s="49"/>
      <c r="H106" s="49"/>
      <c r="I106" s="50"/>
      <c r="J106" s="51"/>
      <c r="K106" s="51"/>
      <c r="L106" s="51"/>
      <c r="M106"/>
      <c r="N106"/>
      <c r="O106"/>
      <c r="Q106"/>
      <c r="R106"/>
      <c r="S106"/>
    </row>
    <row r="107" spans="3:19" ht="24.75" customHeight="1">
      <c r="C107" s="48"/>
      <c r="D107" s="49"/>
      <c r="E107" s="49"/>
      <c r="F107" s="49"/>
      <c r="G107" s="49"/>
      <c r="H107" s="49"/>
      <c r="I107" s="50"/>
      <c r="J107" s="51"/>
      <c r="K107" s="51"/>
      <c r="L107" s="51"/>
      <c r="M107"/>
      <c r="N107"/>
      <c r="O107"/>
      <c r="Q107"/>
      <c r="R107"/>
      <c r="S107"/>
    </row>
    <row r="108" spans="3:19" ht="24.75" customHeight="1">
      <c r="C108" s="48"/>
      <c r="D108" s="49"/>
      <c r="E108" s="49"/>
      <c r="F108" s="49"/>
      <c r="G108" s="49"/>
      <c r="H108" s="49"/>
      <c r="I108" s="50"/>
      <c r="J108" s="51"/>
      <c r="K108" s="51"/>
      <c r="L108" s="51"/>
      <c r="M108"/>
      <c r="N108"/>
      <c r="O108"/>
      <c r="Q108"/>
      <c r="R108"/>
      <c r="S108"/>
    </row>
    <row r="109" spans="3:19" ht="24.75" customHeight="1">
      <c r="C109" s="48"/>
      <c r="D109" s="49"/>
      <c r="E109" s="49"/>
      <c r="F109" s="49"/>
      <c r="G109" s="49"/>
      <c r="H109" s="49"/>
      <c r="I109" s="50"/>
      <c r="J109" s="51"/>
      <c r="K109" s="51"/>
      <c r="L109" s="51"/>
      <c r="M109"/>
      <c r="N109"/>
      <c r="O109"/>
      <c r="Q109"/>
      <c r="R109"/>
      <c r="S109"/>
    </row>
    <row r="110" spans="3:19" ht="24.75" customHeight="1">
      <c r="C110" s="48"/>
      <c r="D110" s="49"/>
      <c r="E110" s="49"/>
      <c r="F110" s="49"/>
      <c r="G110" s="49"/>
      <c r="H110" s="49"/>
      <c r="I110" s="50"/>
      <c r="J110" s="51"/>
      <c r="K110" s="51"/>
      <c r="L110" s="51"/>
      <c r="M110"/>
      <c r="N110"/>
      <c r="O110"/>
      <c r="Q110"/>
      <c r="R110"/>
      <c r="S110"/>
    </row>
    <row r="111" spans="3:19" ht="24.75" customHeight="1">
      <c r="C111" s="48"/>
      <c r="D111" s="49"/>
      <c r="E111" s="49"/>
      <c r="F111" s="49"/>
      <c r="G111" s="49"/>
      <c r="H111" s="49"/>
      <c r="I111" s="50"/>
      <c r="J111" s="51"/>
      <c r="K111" s="51"/>
      <c r="L111" s="51"/>
      <c r="M111"/>
      <c r="N111"/>
      <c r="O111"/>
      <c r="Q111"/>
      <c r="R111"/>
      <c r="S111"/>
    </row>
    <row r="112" spans="3:19" ht="24.75" customHeight="1">
      <c r="C112" s="48"/>
      <c r="D112" s="49"/>
      <c r="E112" s="49"/>
      <c r="F112" s="49"/>
      <c r="G112" s="49"/>
      <c r="H112" s="49"/>
      <c r="I112" s="50"/>
      <c r="J112" s="51"/>
      <c r="K112" s="51"/>
      <c r="L112" s="51"/>
      <c r="M112"/>
      <c r="N112"/>
      <c r="O112"/>
      <c r="Q112"/>
      <c r="R112"/>
      <c r="S112"/>
    </row>
    <row r="113" spans="3:19" ht="24.75" customHeight="1">
      <c r="C113" s="48"/>
      <c r="D113" s="49"/>
      <c r="E113" s="49"/>
      <c r="F113" s="49"/>
      <c r="G113" s="49"/>
      <c r="H113" s="49"/>
      <c r="I113" s="50"/>
      <c r="J113" s="51"/>
      <c r="K113" s="51"/>
      <c r="L113" s="51"/>
      <c r="M113"/>
      <c r="N113"/>
      <c r="O113"/>
      <c r="Q113"/>
      <c r="R113"/>
      <c r="S113"/>
    </row>
    <row r="114" spans="3:19" ht="24.75" customHeight="1">
      <c r="C114" s="48"/>
      <c r="D114" s="49"/>
      <c r="E114" s="49"/>
      <c r="F114" s="49"/>
      <c r="G114" s="49"/>
      <c r="H114" s="49"/>
      <c r="I114" s="50"/>
      <c r="J114" s="51"/>
      <c r="K114" s="51"/>
      <c r="L114" s="51"/>
      <c r="M114"/>
      <c r="N114"/>
      <c r="O114"/>
      <c r="Q114"/>
      <c r="R114"/>
      <c r="S114"/>
    </row>
    <row r="115" spans="3:19" ht="24.75" customHeight="1">
      <c r="C115" s="48"/>
      <c r="D115" s="49"/>
      <c r="E115" s="49"/>
      <c r="F115" s="49"/>
      <c r="G115" s="49"/>
      <c r="H115" s="49"/>
      <c r="I115" s="50"/>
      <c r="J115" s="51"/>
      <c r="K115" s="51"/>
      <c r="L115" s="51"/>
      <c r="M115"/>
      <c r="N115"/>
      <c r="O115"/>
      <c r="Q115"/>
      <c r="R115"/>
      <c r="S115"/>
    </row>
    <row r="116" spans="3:19" ht="24.75" customHeight="1">
      <c r="C116" s="48"/>
      <c r="D116" s="49"/>
      <c r="E116" s="49"/>
      <c r="F116" s="49"/>
      <c r="G116" s="49"/>
      <c r="H116" s="49"/>
      <c r="I116" s="50"/>
      <c r="J116" s="51"/>
      <c r="K116" s="51"/>
      <c r="L116" s="51"/>
      <c r="M116"/>
      <c r="N116"/>
      <c r="O116"/>
      <c r="Q116"/>
      <c r="R116"/>
      <c r="S116"/>
    </row>
  </sheetData>
  <sheetProtection password="EFEB" sheet="1" objects="1" scenarios="1"/>
  <mergeCells count="6">
    <mergeCell ref="D37:K37"/>
    <mergeCell ref="B2:S2"/>
    <mergeCell ref="M3:O3"/>
    <mergeCell ref="Q3:S3"/>
    <mergeCell ref="J4:L4"/>
    <mergeCell ref="D35:K3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B1:AK102"/>
  <sheetViews>
    <sheetView topLeftCell="A7" workbookViewId="0">
      <selection activeCell="A22" sqref="A22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38.85546875" customWidth="1"/>
    <col min="9" max="9" width="25.5703125" style="2" customWidth="1"/>
    <col min="10" max="12" width="9.140625" style="3"/>
    <col min="13" max="15" width="14.140625" style="4" customWidth="1"/>
    <col min="16" max="16" width="13.5703125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140625" customWidth="1"/>
    <col min="255" max="255" width="13.1406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5" width="14.140625" customWidth="1"/>
    <col min="266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140625" customWidth="1"/>
    <col min="511" max="511" width="13.1406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1" width="14.140625" customWidth="1"/>
    <col min="522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140625" customWidth="1"/>
    <col min="767" max="767" width="13.1406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7" width="14.140625" customWidth="1"/>
    <col min="778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140625" customWidth="1"/>
    <col min="1023" max="1023" width="13.1406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3" width="14.140625" customWidth="1"/>
    <col min="1034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140625" customWidth="1"/>
    <col min="1279" max="1279" width="13.1406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9" width="14.140625" customWidth="1"/>
    <col min="1290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140625" customWidth="1"/>
    <col min="1535" max="1535" width="13.1406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5" width="14.140625" customWidth="1"/>
    <col min="1546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140625" customWidth="1"/>
    <col min="1791" max="1791" width="13.1406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1" width="14.140625" customWidth="1"/>
    <col min="1802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140625" customWidth="1"/>
    <col min="2047" max="2047" width="13.1406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7" width="14.140625" customWidth="1"/>
    <col min="2058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140625" customWidth="1"/>
    <col min="2303" max="2303" width="13.1406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3" width="14.140625" customWidth="1"/>
    <col min="2314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140625" customWidth="1"/>
    <col min="2559" max="2559" width="13.1406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9" width="14.140625" customWidth="1"/>
    <col min="2570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140625" customWidth="1"/>
    <col min="2815" max="2815" width="13.1406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5" width="14.140625" customWidth="1"/>
    <col min="2826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140625" customWidth="1"/>
    <col min="3071" max="3071" width="13.1406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1" width="14.140625" customWidth="1"/>
    <col min="3082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140625" customWidth="1"/>
    <col min="3327" max="3327" width="13.1406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7" width="14.140625" customWidth="1"/>
    <col min="3338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140625" customWidth="1"/>
    <col min="3583" max="3583" width="13.1406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3" width="14.140625" customWidth="1"/>
    <col min="3594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140625" customWidth="1"/>
    <col min="3839" max="3839" width="13.1406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9" width="14.140625" customWidth="1"/>
    <col min="3850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140625" customWidth="1"/>
    <col min="4095" max="4095" width="13.1406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5" width="14.140625" customWidth="1"/>
    <col min="4106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140625" customWidth="1"/>
    <col min="4351" max="4351" width="13.1406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1" width="14.140625" customWidth="1"/>
    <col min="4362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140625" customWidth="1"/>
    <col min="4607" max="4607" width="13.1406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7" width="14.140625" customWidth="1"/>
    <col min="4618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140625" customWidth="1"/>
    <col min="4863" max="4863" width="13.1406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3" width="14.140625" customWidth="1"/>
    <col min="4874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140625" customWidth="1"/>
    <col min="5119" max="5119" width="13.1406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9" width="14.140625" customWidth="1"/>
    <col min="5130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140625" customWidth="1"/>
    <col min="5375" max="5375" width="13.1406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5" width="14.140625" customWidth="1"/>
    <col min="5386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140625" customWidth="1"/>
    <col min="5631" max="5631" width="13.1406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1" width="14.140625" customWidth="1"/>
    <col min="5642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140625" customWidth="1"/>
    <col min="5887" max="5887" width="13.1406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7" width="14.140625" customWidth="1"/>
    <col min="5898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140625" customWidth="1"/>
    <col min="6143" max="6143" width="13.1406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3" width="14.140625" customWidth="1"/>
    <col min="6154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140625" customWidth="1"/>
    <col min="6399" max="6399" width="13.1406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9" width="14.140625" customWidth="1"/>
    <col min="6410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140625" customWidth="1"/>
    <col min="6655" max="6655" width="13.1406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5" width="14.140625" customWidth="1"/>
    <col min="6666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140625" customWidth="1"/>
    <col min="6911" max="6911" width="13.1406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1" width="14.140625" customWidth="1"/>
    <col min="6922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140625" customWidth="1"/>
    <col min="7167" max="7167" width="13.1406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7" width="14.140625" customWidth="1"/>
    <col min="7178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140625" customWidth="1"/>
    <col min="7423" max="7423" width="13.1406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3" width="14.140625" customWidth="1"/>
    <col min="7434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140625" customWidth="1"/>
    <col min="7679" max="7679" width="13.1406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9" width="14.140625" customWidth="1"/>
    <col min="7690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140625" customWidth="1"/>
    <col min="7935" max="7935" width="13.1406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5" width="14.140625" customWidth="1"/>
    <col min="7946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140625" customWidth="1"/>
    <col min="8191" max="8191" width="13.1406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1" width="14.140625" customWidth="1"/>
    <col min="8202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140625" customWidth="1"/>
    <col min="8447" max="8447" width="13.1406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7" width="14.140625" customWidth="1"/>
    <col min="8458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140625" customWidth="1"/>
    <col min="8703" max="8703" width="13.1406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3" width="14.140625" customWidth="1"/>
    <col min="8714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140625" customWidth="1"/>
    <col min="8959" max="8959" width="13.1406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9" width="14.140625" customWidth="1"/>
    <col min="8970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140625" customWidth="1"/>
    <col min="9215" max="9215" width="13.1406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5" width="14.140625" customWidth="1"/>
    <col min="9226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140625" customWidth="1"/>
    <col min="9471" max="9471" width="13.1406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1" width="14.140625" customWidth="1"/>
    <col min="9482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140625" customWidth="1"/>
    <col min="9727" max="9727" width="13.1406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7" width="14.140625" customWidth="1"/>
    <col min="9738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140625" customWidth="1"/>
    <col min="9983" max="9983" width="13.1406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3" width="14.140625" customWidth="1"/>
    <col min="9994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140625" customWidth="1"/>
    <col min="10239" max="10239" width="13.1406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9" width="14.140625" customWidth="1"/>
    <col min="10250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140625" customWidth="1"/>
    <col min="10495" max="10495" width="13.1406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5" width="14.140625" customWidth="1"/>
    <col min="10506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140625" customWidth="1"/>
    <col min="10751" max="10751" width="13.1406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1" width="14.140625" customWidth="1"/>
    <col min="10762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140625" customWidth="1"/>
    <col min="11007" max="11007" width="13.1406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7" width="14.140625" customWidth="1"/>
    <col min="11018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140625" customWidth="1"/>
    <col min="11263" max="11263" width="13.1406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3" width="14.140625" customWidth="1"/>
    <col min="11274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140625" customWidth="1"/>
    <col min="11519" max="11519" width="13.1406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9" width="14.140625" customWidth="1"/>
    <col min="11530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140625" customWidth="1"/>
    <col min="11775" max="11775" width="13.1406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5" width="14.140625" customWidth="1"/>
    <col min="11786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140625" customWidth="1"/>
    <col min="12031" max="12031" width="13.1406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1" width="14.140625" customWidth="1"/>
    <col min="12042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140625" customWidth="1"/>
    <col min="12287" max="12287" width="13.1406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7" width="14.140625" customWidth="1"/>
    <col min="12298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140625" customWidth="1"/>
    <col min="12543" max="12543" width="13.1406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3" width="14.140625" customWidth="1"/>
    <col min="12554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140625" customWidth="1"/>
    <col min="12799" max="12799" width="13.1406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9" width="14.140625" customWidth="1"/>
    <col min="12810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140625" customWidth="1"/>
    <col min="13055" max="13055" width="13.1406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5" width="14.140625" customWidth="1"/>
    <col min="13066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140625" customWidth="1"/>
    <col min="13311" max="13311" width="13.1406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1" width="14.140625" customWidth="1"/>
    <col min="13322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140625" customWidth="1"/>
    <col min="13567" max="13567" width="13.1406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7" width="14.140625" customWidth="1"/>
    <col min="13578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140625" customWidth="1"/>
    <col min="13823" max="13823" width="13.1406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3" width="14.140625" customWidth="1"/>
    <col min="13834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140625" customWidth="1"/>
    <col min="14079" max="14079" width="13.1406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9" width="14.140625" customWidth="1"/>
    <col min="14090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140625" customWidth="1"/>
    <col min="14335" max="14335" width="13.1406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5" width="14.140625" customWidth="1"/>
    <col min="14346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140625" customWidth="1"/>
    <col min="14591" max="14591" width="13.1406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1" width="14.140625" customWidth="1"/>
    <col min="14602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140625" customWidth="1"/>
    <col min="14847" max="14847" width="13.1406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7" width="14.140625" customWidth="1"/>
    <col min="14858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140625" customWidth="1"/>
    <col min="15103" max="15103" width="13.1406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3" width="14.140625" customWidth="1"/>
    <col min="15114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140625" customWidth="1"/>
    <col min="15359" max="15359" width="13.1406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9" width="14.140625" customWidth="1"/>
    <col min="15370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140625" customWidth="1"/>
    <col min="15615" max="15615" width="13.1406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5" width="14.140625" customWidth="1"/>
    <col min="15626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140625" customWidth="1"/>
    <col min="15871" max="15871" width="13.1406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1" width="14.140625" customWidth="1"/>
    <col min="15882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140625" customWidth="1"/>
    <col min="16127" max="16127" width="13.1406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7" width="14.140625" customWidth="1"/>
    <col min="16138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1" spans="2:37" ht="24.75" customHeight="1"/>
    <row r="2" spans="2:37" s="7" customFormat="1" ht="24.75" customHeight="1" thickBot="1">
      <c r="B2" s="357" t="s">
        <v>177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65"/>
      <c r="N2" s="365"/>
      <c r="O2" s="365"/>
      <c r="P2" s="365"/>
      <c r="Q2" s="365"/>
      <c r="R2" s="365"/>
      <c r="S2" s="365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2:37" s="7" customFormat="1" ht="32.25" customHeight="1" thickBot="1">
      <c r="B3" s="86"/>
      <c r="C3" s="86"/>
      <c r="D3" s="86"/>
      <c r="E3" s="346"/>
      <c r="F3" s="162"/>
      <c r="G3" s="162"/>
      <c r="H3" s="162"/>
      <c r="I3" s="86"/>
      <c r="J3" s="86"/>
      <c r="K3" s="86"/>
      <c r="L3" s="126"/>
      <c r="M3" s="372" t="s">
        <v>26</v>
      </c>
      <c r="N3" s="373"/>
      <c r="O3" s="374"/>
      <c r="P3" s="90" t="s">
        <v>33</v>
      </c>
      <c r="Q3" s="373" t="s">
        <v>34</v>
      </c>
      <c r="R3" s="373"/>
      <c r="S3" s="374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2:37" ht="38.25" customHeight="1" thickBot="1">
      <c r="B4" s="158" t="s">
        <v>0</v>
      </c>
      <c r="C4" s="192" t="s">
        <v>165</v>
      </c>
      <c r="D4" s="348" t="s">
        <v>1</v>
      </c>
      <c r="E4" s="158" t="s">
        <v>481</v>
      </c>
      <c r="F4" s="158" t="s">
        <v>115</v>
      </c>
      <c r="G4" s="185" t="s">
        <v>164</v>
      </c>
      <c r="H4" s="158" t="s">
        <v>116</v>
      </c>
      <c r="I4" s="158" t="s">
        <v>2</v>
      </c>
      <c r="J4" s="375" t="s">
        <v>3</v>
      </c>
      <c r="K4" s="375"/>
      <c r="L4" s="376"/>
      <c r="M4" s="154" t="s">
        <v>27</v>
      </c>
      <c r="N4" s="171" t="s">
        <v>28</v>
      </c>
      <c r="O4" s="176" t="s">
        <v>29</v>
      </c>
      <c r="P4" s="172" t="s">
        <v>27</v>
      </c>
      <c r="Q4" s="173" t="s">
        <v>4</v>
      </c>
      <c r="R4" s="175" t="s">
        <v>5</v>
      </c>
      <c r="S4" s="174" t="s">
        <v>6</v>
      </c>
    </row>
    <row r="5" spans="2:37" s="16" customFormat="1" ht="12.75" customHeight="1">
      <c r="B5" s="106">
        <v>1</v>
      </c>
      <c r="C5" s="107" t="s">
        <v>966</v>
      </c>
      <c r="D5" s="111" t="s">
        <v>107</v>
      </c>
      <c r="E5" s="232" t="s">
        <v>483</v>
      </c>
      <c r="F5" s="111" t="s">
        <v>693</v>
      </c>
      <c r="G5" s="109" t="s">
        <v>700</v>
      </c>
      <c r="H5" s="109" t="str">
        <f>UPPER(G5)</f>
        <v>REUNIÃO DO CONSELHO DA ADMINISTRAÇÃO</v>
      </c>
      <c r="I5" s="109" t="s">
        <v>265</v>
      </c>
      <c r="J5" s="150">
        <v>43800</v>
      </c>
      <c r="K5" s="111">
        <v>16</v>
      </c>
      <c r="L5" s="112">
        <v>16</v>
      </c>
      <c r="M5" s="57">
        <v>0</v>
      </c>
      <c r="N5" s="57">
        <v>0</v>
      </c>
      <c r="O5" s="57">
        <v>0</v>
      </c>
      <c r="P5" s="57">
        <v>0</v>
      </c>
      <c r="Q5" s="113">
        <v>598</v>
      </c>
      <c r="R5" s="114">
        <v>0</v>
      </c>
      <c r="S5" s="115">
        <f t="shared" ref="S5:S19" si="0">M5+N5+O5+P5+Q5+R5</f>
        <v>598</v>
      </c>
      <c r="T5" s="15"/>
      <c r="U5" s="15"/>
      <c r="V5" s="15"/>
      <c r="W5" s="15"/>
    </row>
    <row r="6" spans="2:37" s="16" customFormat="1" ht="12" customHeight="1">
      <c r="B6" s="94">
        <v>2</v>
      </c>
      <c r="C6" s="56" t="s">
        <v>967</v>
      </c>
      <c r="D6" s="10" t="s">
        <v>227</v>
      </c>
      <c r="E6" s="238" t="s">
        <v>978</v>
      </c>
      <c r="F6" s="164" t="s">
        <v>455</v>
      </c>
      <c r="G6" s="210" t="s">
        <v>994</v>
      </c>
      <c r="H6" s="9" t="str">
        <f t="shared" ref="H6:H19" si="1">UPPER(G6)</f>
        <v>PARTICIPAR EM REUNIÃO SPO/MEC E BB PREV.</v>
      </c>
      <c r="I6" s="9" t="s">
        <v>65</v>
      </c>
      <c r="J6" s="17">
        <v>43800</v>
      </c>
      <c r="K6" s="10">
        <v>11</v>
      </c>
      <c r="L6" s="11">
        <v>12</v>
      </c>
      <c r="M6" s="57">
        <v>0</v>
      </c>
      <c r="N6" s="57">
        <v>0</v>
      </c>
      <c r="O6" s="57">
        <v>0</v>
      </c>
      <c r="P6" s="201">
        <f>22+24</f>
        <v>46</v>
      </c>
      <c r="Q6" s="13">
        <f>1312.03+1197.58</f>
        <v>2509.6099999999997</v>
      </c>
      <c r="R6" s="313">
        <f>448.5+265.1</f>
        <v>713.6</v>
      </c>
      <c r="S6" s="93">
        <f t="shared" si="0"/>
        <v>3269.2099999999996</v>
      </c>
      <c r="T6" s="15"/>
      <c r="U6" s="15"/>
      <c r="V6" s="15"/>
      <c r="W6" s="15"/>
    </row>
    <row r="7" spans="2:37" s="16" customFormat="1" ht="12.75" customHeight="1">
      <c r="B7" s="94">
        <v>3</v>
      </c>
      <c r="C7" s="55" t="s">
        <v>968</v>
      </c>
      <c r="D7" s="10" t="s">
        <v>229</v>
      </c>
      <c r="E7" s="238" t="s">
        <v>517</v>
      </c>
      <c r="F7" s="164" t="s">
        <v>979</v>
      </c>
      <c r="G7" s="210" t="s">
        <v>994</v>
      </c>
      <c r="H7" s="9" t="str">
        <f t="shared" si="1"/>
        <v>PARTICIPAR EM REUNIÃO SPO/MEC E BB PREV.</v>
      </c>
      <c r="I7" s="9" t="s">
        <v>65</v>
      </c>
      <c r="J7" s="17">
        <v>43800</v>
      </c>
      <c r="K7" s="10">
        <v>11</v>
      </c>
      <c r="L7" s="11">
        <v>12</v>
      </c>
      <c r="M7" s="57">
        <v>0</v>
      </c>
      <c r="N7" s="57">
        <v>0</v>
      </c>
      <c r="O7" s="57">
        <v>0</v>
      </c>
      <c r="P7" s="57">
        <f>38+47+13+12+54</f>
        <v>164</v>
      </c>
      <c r="Q7" s="13">
        <f>1312.03+1144.57</f>
        <v>2456.6</v>
      </c>
      <c r="R7" s="313">
        <f>448.5+125.4</f>
        <v>573.9</v>
      </c>
      <c r="S7" s="93">
        <f t="shared" si="0"/>
        <v>3194.5</v>
      </c>
      <c r="T7" s="15"/>
      <c r="U7" s="15"/>
      <c r="V7" s="15"/>
      <c r="W7" s="15"/>
    </row>
    <row r="8" spans="2:37" s="16" customFormat="1" ht="12.75" customHeight="1">
      <c r="B8" s="94">
        <v>4</v>
      </c>
      <c r="C8" s="56" t="s">
        <v>969</v>
      </c>
      <c r="D8" s="10" t="s">
        <v>980</v>
      </c>
      <c r="E8" s="238" t="s">
        <v>981</v>
      </c>
      <c r="F8" s="194" t="s">
        <v>918</v>
      </c>
      <c r="G8" s="347" t="s">
        <v>995</v>
      </c>
      <c r="H8" s="9" t="str">
        <f t="shared" si="1"/>
        <v>PARTICIPAR EM REUNIÃO NA BB PREV.</v>
      </c>
      <c r="I8" s="9" t="s">
        <v>65</v>
      </c>
      <c r="J8" s="17">
        <v>43801</v>
      </c>
      <c r="K8" s="10">
        <v>11</v>
      </c>
      <c r="L8" s="11">
        <v>11</v>
      </c>
      <c r="M8" s="57">
        <v>72</v>
      </c>
      <c r="N8" s="57">
        <v>100.1</v>
      </c>
      <c r="O8" s="57">
        <v>0</v>
      </c>
      <c r="P8" s="57">
        <v>0</v>
      </c>
      <c r="Q8" s="13">
        <f>1312.03+1144.57</f>
        <v>2456.6</v>
      </c>
      <c r="R8" s="14">
        <v>0</v>
      </c>
      <c r="S8" s="93">
        <f t="shared" si="0"/>
        <v>2628.7</v>
      </c>
      <c r="T8" s="15"/>
      <c r="U8" s="15"/>
      <c r="V8" s="15"/>
      <c r="W8" s="15"/>
    </row>
    <row r="9" spans="2:37" s="16" customFormat="1" ht="12.75" customHeight="1">
      <c r="B9" s="94">
        <v>5</v>
      </c>
      <c r="C9" s="56" t="s">
        <v>970</v>
      </c>
      <c r="D9" s="10" t="s">
        <v>451</v>
      </c>
      <c r="E9" s="230" t="s">
        <v>567</v>
      </c>
      <c r="F9" s="10" t="s">
        <v>693</v>
      </c>
      <c r="G9" s="9" t="s">
        <v>700</v>
      </c>
      <c r="H9" s="9" t="str">
        <f t="shared" si="1"/>
        <v>REUNIÃO DO CONSELHO DA ADMINISTRAÇÃO</v>
      </c>
      <c r="I9" s="9" t="s">
        <v>56</v>
      </c>
      <c r="J9" s="155">
        <v>43800</v>
      </c>
      <c r="K9" s="10">
        <v>16</v>
      </c>
      <c r="L9" s="11">
        <v>16</v>
      </c>
      <c r="M9" s="57">
        <v>0</v>
      </c>
      <c r="N9" s="57">
        <v>0</v>
      </c>
      <c r="O9" s="57">
        <v>0</v>
      </c>
      <c r="P9" s="57">
        <v>0</v>
      </c>
      <c r="Q9" s="13">
        <f>955.57+957.03</f>
        <v>1912.6</v>
      </c>
      <c r="R9" s="14">
        <v>0</v>
      </c>
      <c r="S9" s="93">
        <f t="shared" si="0"/>
        <v>1912.6</v>
      </c>
      <c r="T9" s="15"/>
      <c r="U9" s="15"/>
      <c r="V9" s="15"/>
      <c r="W9" s="15"/>
    </row>
    <row r="10" spans="2:37" s="16" customFormat="1" ht="12.75" customHeight="1">
      <c r="B10" s="94">
        <v>6</v>
      </c>
      <c r="C10" s="56" t="s">
        <v>971</v>
      </c>
      <c r="D10" s="10" t="s">
        <v>825</v>
      </c>
      <c r="E10" s="230" t="s">
        <v>836</v>
      </c>
      <c r="F10" s="10" t="s">
        <v>693</v>
      </c>
      <c r="G10" s="9" t="s">
        <v>700</v>
      </c>
      <c r="H10" s="9" t="str">
        <f t="shared" si="1"/>
        <v>REUNIÃO DO CONSELHO DA ADMINISTRAÇÃO</v>
      </c>
      <c r="I10" s="9" t="s">
        <v>56</v>
      </c>
      <c r="J10" s="155">
        <v>43800</v>
      </c>
      <c r="K10" s="10">
        <v>16</v>
      </c>
      <c r="L10" s="11">
        <v>16</v>
      </c>
      <c r="M10" s="57">
        <v>0</v>
      </c>
      <c r="N10" s="57">
        <v>0</v>
      </c>
      <c r="O10" s="57">
        <v>0</v>
      </c>
      <c r="P10" s="57">
        <v>0</v>
      </c>
      <c r="Q10" s="13">
        <f>1078.57+835.03</f>
        <v>1913.6</v>
      </c>
      <c r="R10" s="14">
        <v>0</v>
      </c>
      <c r="S10" s="93">
        <f t="shared" si="0"/>
        <v>1913.6</v>
      </c>
      <c r="T10" s="15"/>
      <c r="U10" s="15"/>
      <c r="V10" s="15"/>
      <c r="W10" s="15"/>
    </row>
    <row r="11" spans="2:37" s="16" customFormat="1" ht="45" customHeight="1">
      <c r="B11" s="94">
        <v>7</v>
      </c>
      <c r="C11" s="55" t="s">
        <v>972</v>
      </c>
      <c r="D11" s="10" t="s">
        <v>982</v>
      </c>
      <c r="E11" s="238" t="s">
        <v>983</v>
      </c>
      <c r="F11" s="164" t="s">
        <v>984</v>
      </c>
      <c r="G11" s="354" t="s">
        <v>996</v>
      </c>
      <c r="H11" s="9" t="str">
        <f t="shared" si="1"/>
        <v> FAZER INSPEÇÃO DE EQUIPAMENTOS FABRICADOS PELA EMPRESA SCHNEIDER E QUE SERÃO FORNECIDOS PARA A OBRA DA NOVA SUBESTAÇÃO 69KV</v>
      </c>
      <c r="I11" s="9" t="s">
        <v>1000</v>
      </c>
      <c r="J11" s="17">
        <v>43800</v>
      </c>
      <c r="K11" s="10">
        <v>4</v>
      </c>
      <c r="L11" s="11">
        <v>5</v>
      </c>
      <c r="M11" s="57">
        <v>0</v>
      </c>
      <c r="N11" s="57">
        <v>0</v>
      </c>
      <c r="O11" s="57">
        <v>0</v>
      </c>
      <c r="P11" s="201">
        <v>0</v>
      </c>
      <c r="Q11" s="13">
        <v>0</v>
      </c>
      <c r="R11" s="14">
        <v>0</v>
      </c>
      <c r="S11" s="93">
        <f t="shared" si="0"/>
        <v>0</v>
      </c>
      <c r="T11" s="15"/>
      <c r="U11" s="15"/>
      <c r="V11" s="15"/>
      <c r="W11" s="15"/>
    </row>
    <row r="12" spans="2:37" s="16" customFormat="1" ht="45" customHeight="1">
      <c r="B12" s="94">
        <v>8</v>
      </c>
      <c r="C12" s="55" t="s">
        <v>973</v>
      </c>
      <c r="D12" s="10" t="s">
        <v>985</v>
      </c>
      <c r="E12" s="238" t="s">
        <v>986</v>
      </c>
      <c r="F12" s="164" t="s">
        <v>987</v>
      </c>
      <c r="G12" s="210" t="s">
        <v>997</v>
      </c>
      <c r="H12" s="9" t="str">
        <f t="shared" si="1"/>
        <v>CAPACITAÇÃO DA EQUIPE LOCAL PARA PREPARO DE ALTA DA PACIENTE LUIZA BORTOLINI FRARON PÓS IMPLANTE DE DISPOSITIVO ASSISTÊNCIA VENTRICULAR HEARTMATE II.</v>
      </c>
      <c r="I12" s="9" t="s">
        <v>1001</v>
      </c>
      <c r="J12" s="17">
        <v>43800</v>
      </c>
      <c r="K12" s="10">
        <v>10</v>
      </c>
      <c r="L12" s="11">
        <v>10</v>
      </c>
      <c r="M12" s="57">
        <v>0</v>
      </c>
      <c r="N12" s="57">
        <v>68.900000000000006</v>
      </c>
      <c r="O12" s="57">
        <v>0</v>
      </c>
      <c r="P12" s="201">
        <v>0</v>
      </c>
      <c r="Q12" s="13">
        <v>0</v>
      </c>
      <c r="R12" s="14">
        <v>0</v>
      </c>
      <c r="S12" s="93">
        <f t="shared" si="0"/>
        <v>68.900000000000006</v>
      </c>
      <c r="T12" s="15"/>
      <c r="U12" s="15"/>
      <c r="V12" s="15"/>
      <c r="W12" s="15"/>
    </row>
    <row r="13" spans="2:37" s="16" customFormat="1" ht="48.75" customHeight="1">
      <c r="B13" s="94">
        <v>9</v>
      </c>
      <c r="C13" s="55" t="s">
        <v>974</v>
      </c>
      <c r="D13" s="168" t="s">
        <v>956</v>
      </c>
      <c r="E13" s="238" t="s">
        <v>957</v>
      </c>
      <c r="F13" s="164" t="s">
        <v>958</v>
      </c>
      <c r="G13" s="210" t="s">
        <v>997</v>
      </c>
      <c r="H13" s="9" t="str">
        <f t="shared" si="1"/>
        <v>CAPACITAÇÃO DA EQUIPE LOCAL PARA PREPARO DE ALTA DA PACIENTE LUIZA BORTOLINI FRARON PÓS IMPLANTE DE DISPOSITIVO ASSISTÊNCIA VENTRICULAR HEARTMATE II.</v>
      </c>
      <c r="I13" s="9" t="s">
        <v>1001</v>
      </c>
      <c r="J13" s="17">
        <v>43800</v>
      </c>
      <c r="K13" s="10">
        <v>10</v>
      </c>
      <c r="L13" s="11">
        <v>10</v>
      </c>
      <c r="M13" s="57">
        <v>0</v>
      </c>
      <c r="N13" s="57">
        <v>58.9</v>
      </c>
      <c r="O13" s="57">
        <v>0</v>
      </c>
      <c r="P13" s="201">
        <v>0</v>
      </c>
      <c r="Q13" s="13">
        <v>0</v>
      </c>
      <c r="R13" s="14">
        <v>0</v>
      </c>
      <c r="S13" s="93">
        <f t="shared" si="0"/>
        <v>58.9</v>
      </c>
      <c r="T13" s="15"/>
      <c r="U13" s="15"/>
      <c r="V13" s="15"/>
      <c r="W13" s="15"/>
    </row>
    <row r="14" spans="2:37" s="16" customFormat="1" ht="27" customHeight="1">
      <c r="B14" s="94">
        <v>10</v>
      </c>
      <c r="C14" s="55" t="s">
        <v>975</v>
      </c>
      <c r="D14" s="10" t="s">
        <v>466</v>
      </c>
      <c r="E14" s="238" t="s">
        <v>522</v>
      </c>
      <c r="F14" s="164" t="s">
        <v>219</v>
      </c>
      <c r="G14" s="202" t="s">
        <v>998</v>
      </c>
      <c r="H14" s="9" t="str">
        <f t="shared" si="1"/>
        <v>MINISTRAR TREINAMENTO AGHUSEE - MÓDULO FARMÁCIA - UNICAMP</v>
      </c>
      <c r="I14" s="9" t="s">
        <v>420</v>
      </c>
      <c r="J14" s="17">
        <v>43800</v>
      </c>
      <c r="K14" s="10">
        <v>17</v>
      </c>
      <c r="L14" s="11">
        <v>19</v>
      </c>
      <c r="M14" s="57">
        <v>0</v>
      </c>
      <c r="N14" s="57">
        <v>0</v>
      </c>
      <c r="O14" s="57">
        <v>0</v>
      </c>
      <c r="P14" s="201">
        <v>0</v>
      </c>
      <c r="Q14" s="13">
        <v>0</v>
      </c>
      <c r="R14" s="14">
        <v>0</v>
      </c>
      <c r="S14" s="93">
        <f t="shared" si="0"/>
        <v>0</v>
      </c>
      <c r="T14" s="15"/>
      <c r="U14" s="15"/>
      <c r="V14" s="15"/>
      <c r="W14" s="15"/>
    </row>
    <row r="15" spans="2:37" s="16" customFormat="1" ht="46.5" customHeight="1">
      <c r="B15" s="94">
        <v>11</v>
      </c>
      <c r="C15" s="55" t="s">
        <v>976</v>
      </c>
      <c r="D15" s="168" t="s">
        <v>988</v>
      </c>
      <c r="E15" s="238" t="s">
        <v>989</v>
      </c>
      <c r="F15" s="164" t="s">
        <v>990</v>
      </c>
      <c r="G15" s="210" t="s">
        <v>997</v>
      </c>
      <c r="H15" s="9" t="str">
        <f t="shared" si="1"/>
        <v>CAPACITAÇÃO DA EQUIPE LOCAL PARA PREPARO DE ALTA DA PACIENTE LUIZA BORTOLINI FRARON PÓS IMPLANTE DE DISPOSITIVO ASSISTÊNCIA VENTRICULAR HEARTMATE II.</v>
      </c>
      <c r="I15" s="9" t="s">
        <v>1001</v>
      </c>
      <c r="J15" s="17">
        <v>43800</v>
      </c>
      <c r="K15" s="10">
        <v>10</v>
      </c>
      <c r="L15" s="11">
        <v>10</v>
      </c>
      <c r="M15" s="57">
        <v>0</v>
      </c>
      <c r="N15" s="57">
        <v>0</v>
      </c>
      <c r="O15" s="57">
        <v>0</v>
      </c>
      <c r="P15" s="201">
        <v>0</v>
      </c>
      <c r="Q15" s="13">
        <v>0</v>
      </c>
      <c r="R15" s="14">
        <v>0</v>
      </c>
      <c r="S15" s="93">
        <f t="shared" si="0"/>
        <v>0</v>
      </c>
      <c r="T15" s="15"/>
      <c r="U15" s="15"/>
      <c r="V15" s="15"/>
      <c r="W15" s="15"/>
    </row>
    <row r="16" spans="2:37" s="16" customFormat="1" ht="68.25" customHeight="1">
      <c r="B16" s="94">
        <v>12</v>
      </c>
      <c r="C16" s="55" t="s">
        <v>977</v>
      </c>
      <c r="D16" s="168" t="s">
        <v>991</v>
      </c>
      <c r="E16" s="238" t="s">
        <v>992</v>
      </c>
      <c r="F16" s="164" t="s">
        <v>993</v>
      </c>
      <c r="G16" s="210" t="s">
        <v>999</v>
      </c>
      <c r="H16" s="9" t="str">
        <f t="shared" si="1"/>
        <v>LEVAR COM O CARRO DO HCPA A EQUIPE DE PROFISSIONAIS DO HCPA PARA CAPACITAÇÃO DA EQUIPE LOCAL, BENTO GONÇALVES, PARA PREPARO DE ALTA DA PACIENTE LUIZA BORTOLINI FRARON PÓS IMPLANTE DE DISPOSITIVO ASSISTÊNCIA VENTRICULAR HEARTMATE II.</v>
      </c>
      <c r="I16" s="9" t="s">
        <v>1001</v>
      </c>
      <c r="J16" s="17">
        <v>43800</v>
      </c>
      <c r="K16" s="10">
        <v>10</v>
      </c>
      <c r="L16" s="11">
        <v>10</v>
      </c>
      <c r="M16" s="57">
        <v>0</v>
      </c>
      <c r="N16" s="57">
        <v>41.9</v>
      </c>
      <c r="O16" s="57">
        <v>0</v>
      </c>
      <c r="P16" s="201">
        <v>0</v>
      </c>
      <c r="Q16" s="13">
        <v>0</v>
      </c>
      <c r="R16" s="14">
        <v>0</v>
      </c>
      <c r="S16" s="93">
        <f t="shared" si="0"/>
        <v>41.9</v>
      </c>
      <c r="T16" s="15"/>
      <c r="U16" s="15"/>
      <c r="V16" s="15"/>
      <c r="W16" s="15"/>
    </row>
    <row r="17" spans="2:23" s="16" customFormat="1" ht="12.75" customHeight="1">
      <c r="B17" s="94">
        <v>13</v>
      </c>
      <c r="C17" s="55"/>
      <c r="D17" s="164" t="s">
        <v>901</v>
      </c>
      <c r="E17" s="238" t="s">
        <v>902</v>
      </c>
      <c r="F17" s="10" t="s">
        <v>119</v>
      </c>
      <c r="G17" s="10" t="s">
        <v>925</v>
      </c>
      <c r="H17" s="9" t="str">
        <f t="shared" si="1"/>
        <v>PARTICIPAÇÃO NA REUNIÃO DO CONSELHO FISCAL</v>
      </c>
      <c r="I17" s="9" t="s">
        <v>56</v>
      </c>
      <c r="J17" s="17">
        <v>43831</v>
      </c>
      <c r="K17" s="10">
        <v>23</v>
      </c>
      <c r="L17" s="11">
        <v>24</v>
      </c>
      <c r="M17" s="57"/>
      <c r="N17" s="57"/>
      <c r="O17" s="57"/>
      <c r="P17" s="201"/>
      <c r="Q17" s="13">
        <v>906.6</v>
      </c>
      <c r="R17" s="14">
        <v>0</v>
      </c>
      <c r="S17" s="93">
        <f t="shared" si="0"/>
        <v>906.6</v>
      </c>
      <c r="T17" s="15"/>
      <c r="U17" s="15"/>
      <c r="V17" s="15"/>
      <c r="W17" s="15"/>
    </row>
    <row r="18" spans="2:23" s="16" customFormat="1" ht="12.75" customHeight="1">
      <c r="B18" s="94">
        <v>14</v>
      </c>
      <c r="C18" s="55"/>
      <c r="D18" s="164" t="s">
        <v>903</v>
      </c>
      <c r="E18" s="238" t="s">
        <v>904</v>
      </c>
      <c r="F18" s="10" t="s">
        <v>119</v>
      </c>
      <c r="G18" s="10" t="s">
        <v>925</v>
      </c>
      <c r="H18" s="9" t="str">
        <f t="shared" si="1"/>
        <v>PARTICIPAÇÃO NA REUNIÃO DO CONSELHO FISCAL</v>
      </c>
      <c r="I18" s="9" t="s">
        <v>56</v>
      </c>
      <c r="J18" s="17">
        <v>43831</v>
      </c>
      <c r="K18" s="10">
        <v>23</v>
      </c>
      <c r="L18" s="11">
        <v>24</v>
      </c>
      <c r="M18" s="218"/>
      <c r="N18" s="218"/>
      <c r="O18" s="218"/>
      <c r="P18" s="12"/>
      <c r="Q18" s="13">
        <f>857.42+380.03</f>
        <v>1237.4499999999998</v>
      </c>
      <c r="R18" s="216">
        <v>213</v>
      </c>
      <c r="S18" s="93">
        <f t="shared" si="0"/>
        <v>1450.4499999999998</v>
      </c>
      <c r="T18" s="15"/>
      <c r="U18" s="15"/>
      <c r="V18" s="15"/>
      <c r="W18" s="15"/>
    </row>
    <row r="19" spans="2:23" s="16" customFormat="1" ht="12.75" customHeight="1" thickBot="1">
      <c r="B19" s="95"/>
      <c r="C19" s="96"/>
      <c r="D19" s="97"/>
      <c r="E19" s="254"/>
      <c r="F19" s="97"/>
      <c r="G19" s="177"/>
      <c r="H19" s="97" t="str">
        <f t="shared" si="1"/>
        <v/>
      </c>
      <c r="I19" s="98"/>
      <c r="J19" s="99"/>
      <c r="K19" s="121"/>
      <c r="L19" s="149"/>
      <c r="M19" s="102"/>
      <c r="N19" s="102"/>
      <c r="O19" s="102"/>
      <c r="P19" s="116"/>
      <c r="Q19" s="103"/>
      <c r="R19" s="104"/>
      <c r="S19" s="105">
        <f t="shared" si="0"/>
        <v>0</v>
      </c>
      <c r="T19" s="15"/>
      <c r="U19" s="15"/>
      <c r="V19" s="15"/>
      <c r="W19" s="15"/>
    </row>
    <row r="20" spans="2:23" s="30" customFormat="1" ht="24.75" customHeight="1">
      <c r="C20" s="31"/>
      <c r="D20" s="31"/>
      <c r="E20" s="31"/>
      <c r="F20" s="31"/>
      <c r="G20" s="31"/>
      <c r="H20" s="31"/>
      <c r="I20" s="33"/>
      <c r="J20" s="31"/>
      <c r="K20" s="19"/>
      <c r="L20" s="32"/>
      <c r="M20" s="35">
        <f t="shared" ref="M20:R20" si="2">SUM(M5:M19)</f>
        <v>72</v>
      </c>
      <c r="N20" s="35">
        <f t="shared" si="2"/>
        <v>269.8</v>
      </c>
      <c r="O20" s="35">
        <f t="shared" si="2"/>
        <v>0</v>
      </c>
      <c r="P20" s="120">
        <f t="shared" si="2"/>
        <v>210</v>
      </c>
      <c r="Q20" s="59">
        <f t="shared" si="2"/>
        <v>13991.060000000001</v>
      </c>
      <c r="R20" s="60">
        <f t="shared" si="2"/>
        <v>1500.5</v>
      </c>
      <c r="S20" s="58">
        <f>SUM(S5:S19)+P21</f>
        <v>16045.460000000001</v>
      </c>
    </row>
    <row r="21" spans="2:23" s="39" customFormat="1" ht="24.75" customHeight="1" thickBot="1">
      <c r="C21" s="40"/>
      <c r="D21" s="358"/>
      <c r="E21" s="358"/>
      <c r="F21" s="358"/>
      <c r="G21" s="358"/>
      <c r="H21" s="358"/>
      <c r="I21" s="358"/>
      <c r="J21" s="358"/>
      <c r="K21" s="358"/>
      <c r="L21" s="41"/>
      <c r="M21" s="42"/>
      <c r="N21" s="42"/>
      <c r="O21" s="87" t="s">
        <v>31</v>
      </c>
      <c r="P21" s="26">
        <f>P20*1%</f>
        <v>2.1</v>
      </c>
      <c r="S21" s="43"/>
    </row>
    <row r="22" spans="2:23" s="39" customFormat="1" ht="24.75" customHeight="1" thickBot="1">
      <c r="C22" s="40"/>
      <c r="D22" s="140" t="s">
        <v>41</v>
      </c>
      <c r="E22" s="182"/>
      <c r="F22" s="182"/>
      <c r="G22" s="182"/>
      <c r="H22" s="182"/>
      <c r="I22" s="44"/>
      <c r="J22" s="40"/>
      <c r="K22" s="40"/>
      <c r="L22" s="41"/>
      <c r="M22" s="42"/>
      <c r="N22" s="42"/>
      <c r="O22" s="42"/>
      <c r="P22" s="89">
        <f>P20+P21</f>
        <v>212.1</v>
      </c>
      <c r="Q22" s="45"/>
      <c r="R22" s="43"/>
      <c r="S22" s="46" t="s">
        <v>8</v>
      </c>
    </row>
    <row r="23" spans="2:23" s="39" customFormat="1" ht="24.75" customHeight="1">
      <c r="C23" s="40"/>
      <c r="D23" s="359"/>
      <c r="E23" s="359"/>
      <c r="F23" s="359"/>
      <c r="G23" s="359"/>
      <c r="H23" s="359"/>
      <c r="I23" s="359"/>
      <c r="J23" s="359"/>
      <c r="K23" s="359"/>
      <c r="L23" s="41"/>
      <c r="M23" s="42"/>
      <c r="N23" s="42"/>
      <c r="O23" s="42"/>
      <c r="P23" s="26"/>
      <c r="Q23" s="5" t="s">
        <v>7</v>
      </c>
      <c r="R23" s="138">
        <f>M20+N20+O20+P22+Q20+R20</f>
        <v>16045.460000000001</v>
      </c>
      <c r="S23" s="47">
        <f>S20-R23</f>
        <v>0</v>
      </c>
    </row>
    <row r="24" spans="2:23" ht="24.75" customHeight="1">
      <c r="C24" s="48"/>
      <c r="D24" s="49"/>
      <c r="E24" s="49"/>
      <c r="F24" s="49"/>
      <c r="G24" s="49"/>
      <c r="H24" s="49"/>
      <c r="I24" s="50"/>
      <c r="J24" s="51"/>
      <c r="K24" s="51"/>
      <c r="L24" s="51"/>
      <c r="O24" s="87" t="s">
        <v>31</v>
      </c>
      <c r="P24" s="26" t="s">
        <v>32</v>
      </c>
    </row>
    <row r="25" spans="2:23" ht="24.75" customHeight="1">
      <c r="C25" s="48"/>
      <c r="D25" s="49"/>
      <c r="E25" s="49"/>
      <c r="F25" s="49"/>
      <c r="G25" s="49"/>
      <c r="H25" s="49"/>
      <c r="I25" s="50"/>
      <c r="J25" s="51"/>
      <c r="K25" s="51"/>
      <c r="L25" s="51"/>
      <c r="P25" s="26"/>
    </row>
    <row r="26" spans="2:23" ht="24.75" customHeight="1">
      <c r="C26" s="48"/>
      <c r="D26" s="49"/>
      <c r="E26" s="49"/>
      <c r="F26" s="49"/>
      <c r="G26" s="49"/>
      <c r="H26" s="49"/>
      <c r="I26" s="50"/>
      <c r="J26" s="51"/>
      <c r="K26" s="51"/>
      <c r="L26" s="51"/>
      <c r="P26" s="26"/>
    </row>
    <row r="27" spans="2:23" ht="24.75" customHeight="1">
      <c r="C27" s="48"/>
      <c r="D27" s="49"/>
      <c r="E27" s="49"/>
      <c r="F27" s="49"/>
      <c r="G27" s="49"/>
      <c r="H27" s="49"/>
      <c r="I27" s="50"/>
      <c r="J27" s="51"/>
      <c r="K27" s="51"/>
      <c r="L27" s="51"/>
      <c r="P27" s="26"/>
    </row>
    <row r="28" spans="2:23" ht="24.75" customHeight="1">
      <c r="C28" s="48"/>
      <c r="D28" s="49"/>
      <c r="E28" s="49"/>
      <c r="F28" s="49"/>
      <c r="G28" s="49"/>
      <c r="H28" s="49"/>
      <c r="I28" s="50"/>
      <c r="J28" s="51"/>
      <c r="K28" s="51"/>
      <c r="L28" s="51"/>
      <c r="P28" s="26"/>
    </row>
    <row r="29" spans="2:23" ht="24.75" customHeight="1">
      <c r="C29" s="48"/>
      <c r="D29" s="49"/>
      <c r="E29" s="49"/>
      <c r="F29" s="49"/>
      <c r="G29" s="49"/>
      <c r="H29" s="49"/>
      <c r="I29" s="50"/>
      <c r="J29" s="51"/>
      <c r="K29" s="51"/>
      <c r="L29" s="51"/>
      <c r="P29" s="26"/>
    </row>
    <row r="30" spans="2:23" ht="24.75" customHeight="1">
      <c r="C30" s="48"/>
      <c r="D30" s="49"/>
      <c r="E30" s="49"/>
      <c r="F30" s="49"/>
      <c r="G30" s="49"/>
      <c r="H30" s="49"/>
      <c r="I30" s="50"/>
      <c r="J30" s="51"/>
      <c r="K30" s="51"/>
      <c r="L30" s="51"/>
      <c r="P30" s="26"/>
    </row>
    <row r="31" spans="2:23" ht="24.75" customHeight="1">
      <c r="C31" s="48"/>
      <c r="D31" s="49"/>
      <c r="E31" s="49"/>
      <c r="F31" s="49"/>
      <c r="G31" s="49"/>
      <c r="H31" s="49"/>
      <c r="I31" s="50"/>
      <c r="J31" s="51"/>
      <c r="K31" s="51"/>
      <c r="L31" s="51"/>
      <c r="P31" s="26"/>
    </row>
    <row r="32" spans="2:23" ht="24.75" customHeight="1">
      <c r="C32" s="48"/>
      <c r="I32" s="50"/>
      <c r="J32" s="51"/>
      <c r="K32" s="51"/>
      <c r="L32" s="51"/>
      <c r="P32" s="26"/>
    </row>
    <row r="33" spans="3:19" ht="24.75" customHeight="1">
      <c r="C33" s="48"/>
      <c r="D33" s="49"/>
      <c r="E33" s="49"/>
      <c r="F33" s="49"/>
      <c r="G33" s="49"/>
      <c r="H33" s="49"/>
      <c r="I33" s="50"/>
      <c r="J33" s="51"/>
      <c r="K33" s="51"/>
      <c r="L33" s="51"/>
      <c r="P33" s="26"/>
    </row>
    <row r="34" spans="3:19" ht="24.75" customHeight="1">
      <c r="C34" s="48"/>
      <c r="D34" s="49"/>
      <c r="E34" s="49"/>
      <c r="F34" s="49"/>
      <c r="G34" s="49"/>
      <c r="H34" s="49"/>
      <c r="I34" s="50"/>
      <c r="J34" s="51"/>
      <c r="K34" s="51"/>
      <c r="L34" s="51"/>
      <c r="P34" s="52"/>
    </row>
    <row r="35" spans="3:19" ht="24.75" customHeight="1">
      <c r="C35" s="48"/>
      <c r="D35" s="49"/>
      <c r="E35" s="49"/>
      <c r="F35" s="49"/>
      <c r="G35" s="49"/>
      <c r="H35" s="49"/>
      <c r="I35" s="50"/>
      <c r="J35" s="51"/>
      <c r="K35" s="51"/>
      <c r="L35" s="51"/>
      <c r="P35" s="39"/>
      <c r="Q35"/>
      <c r="R35"/>
      <c r="S35"/>
    </row>
    <row r="36" spans="3:19" ht="24.75" customHeight="1">
      <c r="C36" s="48"/>
      <c r="D36" s="49"/>
      <c r="E36" s="49"/>
      <c r="F36" s="49"/>
      <c r="G36" s="49"/>
      <c r="H36" s="49"/>
      <c r="I36" s="50"/>
      <c r="J36" s="51"/>
      <c r="K36" s="51"/>
      <c r="L36" s="51"/>
      <c r="P36" s="39"/>
      <c r="Q36"/>
      <c r="R36"/>
      <c r="S36"/>
    </row>
    <row r="37" spans="3:19" ht="24.75" customHeight="1">
      <c r="C37" s="48"/>
      <c r="D37" s="49"/>
      <c r="E37" s="49"/>
      <c r="F37" s="49"/>
      <c r="G37" s="49"/>
      <c r="H37" s="49"/>
      <c r="I37" s="50"/>
      <c r="J37" s="51"/>
      <c r="K37" s="51"/>
      <c r="L37" s="51"/>
      <c r="P37" s="39"/>
      <c r="Q37"/>
      <c r="R37"/>
      <c r="S37"/>
    </row>
    <row r="38" spans="3:19" ht="24.75" customHeight="1">
      <c r="C38" s="48"/>
      <c r="D38" s="49"/>
      <c r="E38" s="49"/>
      <c r="F38" s="49"/>
      <c r="G38" s="49"/>
      <c r="H38" s="49"/>
      <c r="I38" s="50"/>
      <c r="J38" s="51"/>
      <c r="K38" s="51"/>
      <c r="L38" s="51"/>
      <c r="Q38"/>
      <c r="R38"/>
      <c r="S38"/>
    </row>
    <row r="39" spans="3:19" ht="24.75" customHeight="1">
      <c r="C39" s="48"/>
      <c r="D39" s="49"/>
      <c r="E39" s="49"/>
      <c r="F39" s="49"/>
      <c r="G39" s="49"/>
      <c r="H39" s="49"/>
      <c r="I39" s="50"/>
      <c r="J39" s="51"/>
      <c r="K39" s="51"/>
      <c r="L39" s="51"/>
      <c r="Q39"/>
      <c r="R39"/>
      <c r="S39"/>
    </row>
    <row r="40" spans="3:19" ht="24.75" customHeight="1">
      <c r="C40" s="48"/>
      <c r="D40" s="49"/>
      <c r="E40" s="49"/>
      <c r="F40" s="49"/>
      <c r="G40" s="49"/>
      <c r="H40" s="49"/>
      <c r="I40" s="50"/>
      <c r="J40" s="51"/>
      <c r="K40" s="51"/>
      <c r="L40" s="51"/>
      <c r="Q40"/>
      <c r="R40"/>
      <c r="S40"/>
    </row>
    <row r="41" spans="3:19" ht="24.75" customHeight="1">
      <c r="C41" s="48"/>
      <c r="D41" s="49"/>
      <c r="E41" s="49"/>
      <c r="F41" s="49"/>
      <c r="G41" s="49"/>
      <c r="H41" s="49"/>
      <c r="I41" s="50"/>
      <c r="J41" s="51"/>
      <c r="K41" s="51"/>
      <c r="L41" s="51"/>
      <c r="Q41"/>
      <c r="R41"/>
      <c r="S41"/>
    </row>
    <row r="42" spans="3:19" ht="24.75" customHeight="1">
      <c r="C42" s="48"/>
      <c r="D42" s="49"/>
      <c r="E42" s="49"/>
      <c r="F42" s="49"/>
      <c r="G42" s="49"/>
      <c r="H42" s="49"/>
      <c r="I42" s="50"/>
      <c r="J42" s="51"/>
      <c r="K42" s="51"/>
      <c r="L42" s="51"/>
      <c r="Q42"/>
      <c r="R42"/>
      <c r="S42"/>
    </row>
    <row r="43" spans="3:19" ht="24.75" customHeight="1">
      <c r="C43" s="48"/>
      <c r="D43" s="49"/>
      <c r="E43" s="49"/>
      <c r="F43" s="49"/>
      <c r="G43" s="49"/>
      <c r="H43" s="49"/>
      <c r="I43" s="50"/>
      <c r="J43" s="51"/>
      <c r="K43" s="51"/>
      <c r="L43" s="51"/>
      <c r="Q43"/>
      <c r="R43"/>
      <c r="S43"/>
    </row>
    <row r="44" spans="3:19" ht="24.75" customHeight="1">
      <c r="C44" s="48"/>
      <c r="D44" s="49"/>
      <c r="E44" s="49"/>
      <c r="F44" s="49"/>
      <c r="G44" s="49"/>
      <c r="H44" s="49"/>
      <c r="I44" s="50"/>
      <c r="J44" s="51"/>
      <c r="K44" s="51"/>
      <c r="L44" s="51"/>
      <c r="Q44"/>
      <c r="R44"/>
      <c r="S44"/>
    </row>
    <row r="45" spans="3:19" ht="24.75" customHeight="1">
      <c r="C45" s="48"/>
      <c r="D45" s="49"/>
      <c r="E45" s="49"/>
      <c r="F45" s="49"/>
      <c r="G45" s="49"/>
      <c r="H45" s="49"/>
      <c r="I45" s="50"/>
      <c r="J45" s="51"/>
      <c r="K45" s="51"/>
      <c r="L45" s="51"/>
      <c r="Q45"/>
      <c r="R45"/>
      <c r="S45"/>
    </row>
    <row r="46" spans="3:19" ht="24.75" customHeight="1">
      <c r="C46" s="48"/>
      <c r="D46" s="49"/>
      <c r="E46" s="49"/>
      <c r="F46" s="49"/>
      <c r="G46" s="49"/>
      <c r="H46" s="49"/>
      <c r="I46" s="50"/>
      <c r="J46" s="51"/>
      <c r="K46" s="51"/>
      <c r="L46" s="51"/>
      <c r="Q46"/>
      <c r="R46"/>
      <c r="S46"/>
    </row>
    <row r="47" spans="3:19" ht="24.75" customHeight="1">
      <c r="C47" s="48"/>
      <c r="D47" s="49"/>
      <c r="E47" s="49"/>
      <c r="F47" s="49"/>
      <c r="G47" s="49"/>
      <c r="H47" s="49"/>
      <c r="I47" s="50"/>
      <c r="J47" s="51"/>
      <c r="K47" s="51"/>
      <c r="L47" s="51"/>
      <c r="Q47"/>
      <c r="R47"/>
      <c r="S47"/>
    </row>
    <row r="48" spans="3:19" ht="24.75" customHeight="1">
      <c r="C48" s="48"/>
      <c r="D48" s="49"/>
      <c r="E48" s="49"/>
      <c r="F48" s="49"/>
      <c r="G48" s="49"/>
      <c r="H48" s="49"/>
      <c r="I48" s="50"/>
      <c r="J48" s="51"/>
      <c r="K48" s="51"/>
      <c r="L48" s="51"/>
      <c r="Q48"/>
      <c r="R48"/>
      <c r="S48"/>
    </row>
    <row r="49" spans="3:19" ht="24.75" customHeight="1">
      <c r="C49" s="48"/>
      <c r="D49" s="49"/>
      <c r="E49" s="49"/>
      <c r="F49" s="49"/>
      <c r="G49" s="49"/>
      <c r="H49" s="49"/>
      <c r="I49" s="50"/>
      <c r="J49" s="51"/>
      <c r="K49" s="51"/>
      <c r="L49" s="51"/>
      <c r="Q49"/>
      <c r="R49"/>
      <c r="S49"/>
    </row>
    <row r="50" spans="3:19" ht="24.75" customHeight="1">
      <c r="C50" s="48"/>
      <c r="D50" s="49"/>
      <c r="E50" s="49"/>
      <c r="F50" s="49"/>
      <c r="G50" s="49"/>
      <c r="H50" s="49"/>
      <c r="I50" s="50"/>
      <c r="J50" s="51"/>
      <c r="K50" s="51"/>
      <c r="L50" s="51"/>
      <c r="Q50"/>
      <c r="R50"/>
      <c r="S50"/>
    </row>
    <row r="51" spans="3:19" ht="24.75" customHeight="1">
      <c r="C51" s="48"/>
      <c r="D51" s="49"/>
      <c r="E51" s="49"/>
      <c r="F51" s="49"/>
      <c r="G51" s="49"/>
      <c r="H51" s="49"/>
      <c r="I51" s="50"/>
      <c r="J51" s="51"/>
      <c r="K51" s="51"/>
      <c r="L51" s="51"/>
      <c r="M51"/>
      <c r="N51"/>
      <c r="O51"/>
      <c r="Q51"/>
      <c r="R51"/>
      <c r="S51"/>
    </row>
    <row r="52" spans="3:19" ht="24.75" customHeight="1">
      <c r="C52" s="48"/>
      <c r="D52" s="49"/>
      <c r="E52" s="49"/>
      <c r="F52" s="49"/>
      <c r="G52" s="49"/>
      <c r="H52" s="49"/>
      <c r="I52" s="50"/>
      <c r="J52" s="51"/>
      <c r="K52" s="51"/>
      <c r="L52" s="51"/>
      <c r="M52"/>
      <c r="N52"/>
      <c r="O52"/>
      <c r="Q52"/>
      <c r="R52"/>
      <c r="S52"/>
    </row>
    <row r="53" spans="3:19" ht="24.75" customHeight="1">
      <c r="C53" s="48"/>
      <c r="D53" s="49"/>
      <c r="E53" s="49"/>
      <c r="F53" s="49"/>
      <c r="G53" s="49"/>
      <c r="H53" s="49"/>
      <c r="I53" s="50"/>
      <c r="J53" s="51"/>
      <c r="K53" s="51"/>
      <c r="L53" s="51"/>
      <c r="M53"/>
      <c r="N53"/>
      <c r="O53"/>
      <c r="Q53"/>
      <c r="R53"/>
      <c r="S53"/>
    </row>
    <row r="54" spans="3:19" ht="24.75" customHeight="1">
      <c r="C54" s="48"/>
      <c r="D54" s="49"/>
      <c r="E54" s="49"/>
      <c r="F54" s="49"/>
      <c r="G54" s="49"/>
      <c r="H54" s="49"/>
      <c r="I54" s="50"/>
      <c r="J54" s="51"/>
      <c r="K54" s="51"/>
      <c r="L54" s="51"/>
      <c r="M54"/>
      <c r="N54"/>
      <c r="O54"/>
      <c r="Q54"/>
      <c r="R54"/>
      <c r="S54"/>
    </row>
    <row r="55" spans="3:19" ht="24.75" customHeight="1">
      <c r="C55" s="48"/>
      <c r="D55" s="49"/>
      <c r="E55" s="49"/>
      <c r="F55" s="49"/>
      <c r="G55" s="49"/>
      <c r="H55" s="49"/>
      <c r="I55" s="50"/>
      <c r="J55" s="51"/>
      <c r="K55" s="51"/>
      <c r="L55" s="51"/>
      <c r="M55"/>
      <c r="N55"/>
      <c r="O55"/>
      <c r="Q55"/>
      <c r="R55"/>
      <c r="S55"/>
    </row>
    <row r="56" spans="3:19" ht="24.75" customHeight="1">
      <c r="C56" s="48"/>
      <c r="D56" s="49"/>
      <c r="E56" s="49"/>
      <c r="F56" s="49"/>
      <c r="G56" s="49"/>
      <c r="H56" s="49"/>
      <c r="I56" s="50"/>
      <c r="J56" s="51"/>
      <c r="K56" s="51"/>
      <c r="L56" s="51"/>
      <c r="M56"/>
      <c r="N56"/>
      <c r="O56"/>
      <c r="Q56"/>
      <c r="R56"/>
      <c r="S56"/>
    </row>
    <row r="57" spans="3:19" ht="24.75" customHeight="1">
      <c r="C57" s="48"/>
      <c r="D57" s="49"/>
      <c r="E57" s="49"/>
      <c r="F57" s="49"/>
      <c r="G57" s="49"/>
      <c r="H57" s="49"/>
      <c r="I57" s="50"/>
      <c r="J57" s="51"/>
      <c r="K57" s="51"/>
      <c r="L57" s="51"/>
      <c r="M57"/>
      <c r="N57"/>
      <c r="O57"/>
      <c r="Q57"/>
      <c r="R57"/>
      <c r="S57"/>
    </row>
    <row r="58" spans="3:19" ht="24.75" customHeight="1">
      <c r="C58" s="48"/>
      <c r="D58" s="49"/>
      <c r="E58" s="49"/>
      <c r="F58" s="49"/>
      <c r="G58" s="49"/>
      <c r="H58" s="49"/>
      <c r="I58" s="50"/>
      <c r="J58" s="51"/>
      <c r="K58" s="51"/>
      <c r="L58" s="51"/>
      <c r="M58"/>
      <c r="N58"/>
      <c r="O58"/>
      <c r="Q58"/>
      <c r="R58"/>
      <c r="S58"/>
    </row>
    <row r="59" spans="3:19" ht="24.75" customHeight="1">
      <c r="C59" s="48"/>
      <c r="D59" s="49"/>
      <c r="E59" s="49"/>
      <c r="F59" s="49"/>
      <c r="G59" s="49"/>
      <c r="H59" s="49"/>
      <c r="I59" s="50"/>
      <c r="J59" s="51"/>
      <c r="K59" s="51"/>
      <c r="L59" s="51"/>
      <c r="M59"/>
      <c r="N59"/>
      <c r="O59"/>
      <c r="Q59"/>
      <c r="R59"/>
      <c r="S59"/>
    </row>
    <row r="60" spans="3:19" ht="24.75" customHeight="1">
      <c r="C60" s="48"/>
      <c r="D60" s="49"/>
      <c r="E60" s="49"/>
      <c r="F60" s="49"/>
      <c r="G60" s="49"/>
      <c r="H60" s="49"/>
      <c r="I60" s="50"/>
      <c r="J60" s="51"/>
      <c r="K60" s="51"/>
      <c r="L60" s="51"/>
      <c r="M60"/>
      <c r="N60"/>
      <c r="O60"/>
      <c r="Q60"/>
      <c r="R60"/>
      <c r="S60"/>
    </row>
    <row r="61" spans="3:19" ht="24.75" customHeight="1">
      <c r="C61" s="48"/>
      <c r="D61" s="49"/>
      <c r="E61" s="49"/>
      <c r="F61" s="49"/>
      <c r="G61" s="49"/>
      <c r="H61" s="49"/>
      <c r="I61" s="50"/>
      <c r="J61" s="51"/>
      <c r="K61" s="51"/>
      <c r="L61" s="51"/>
      <c r="M61"/>
      <c r="N61"/>
      <c r="O61"/>
      <c r="Q61"/>
      <c r="R61"/>
      <c r="S61"/>
    </row>
    <row r="62" spans="3:19" ht="24.75" customHeight="1">
      <c r="C62" s="48"/>
      <c r="D62" s="49"/>
      <c r="E62" s="49"/>
      <c r="F62" s="49"/>
      <c r="G62" s="49"/>
      <c r="H62" s="49"/>
      <c r="I62" s="50"/>
      <c r="J62" s="51"/>
      <c r="K62" s="51"/>
      <c r="L62" s="51"/>
      <c r="M62"/>
      <c r="N62"/>
      <c r="O62"/>
      <c r="Q62"/>
      <c r="R62"/>
      <c r="S62"/>
    </row>
    <row r="63" spans="3:19" ht="24.75" customHeight="1">
      <c r="C63" s="48"/>
      <c r="D63" s="49"/>
      <c r="E63" s="49"/>
      <c r="F63" s="49"/>
      <c r="G63" s="49"/>
      <c r="H63" s="49"/>
      <c r="I63" s="50"/>
      <c r="J63" s="51"/>
      <c r="K63" s="51"/>
      <c r="L63" s="51"/>
      <c r="M63"/>
      <c r="N63"/>
      <c r="O63"/>
      <c r="Q63"/>
      <c r="R63"/>
      <c r="S63"/>
    </row>
    <row r="64" spans="3:19" ht="24.75" customHeight="1">
      <c r="C64" s="48"/>
      <c r="D64" s="49"/>
      <c r="E64" s="49"/>
      <c r="F64" s="49"/>
      <c r="G64" s="49"/>
      <c r="H64" s="49"/>
      <c r="I64" s="50"/>
      <c r="J64" s="51"/>
      <c r="K64" s="51"/>
      <c r="L64" s="51"/>
      <c r="M64"/>
      <c r="N64"/>
      <c r="O64"/>
      <c r="Q64"/>
      <c r="R64"/>
      <c r="S64"/>
    </row>
    <row r="65" spans="3:19" ht="24.75" customHeight="1">
      <c r="C65" s="48"/>
      <c r="D65" s="49"/>
      <c r="E65" s="49"/>
      <c r="F65" s="49"/>
      <c r="G65" s="49"/>
      <c r="H65" s="49"/>
      <c r="I65" s="50"/>
      <c r="J65" s="51"/>
      <c r="K65" s="51"/>
      <c r="L65" s="51"/>
      <c r="M65"/>
      <c r="N65"/>
      <c r="O65"/>
      <c r="Q65"/>
      <c r="R65"/>
      <c r="S65"/>
    </row>
    <row r="66" spans="3:19" ht="24.75" customHeight="1">
      <c r="C66" s="48"/>
      <c r="D66" s="49"/>
      <c r="E66" s="49"/>
      <c r="F66" s="49"/>
      <c r="G66" s="49"/>
      <c r="H66" s="49"/>
      <c r="I66" s="50"/>
      <c r="J66" s="51"/>
      <c r="K66" s="51"/>
      <c r="L66" s="51"/>
      <c r="M66"/>
      <c r="N66"/>
      <c r="O66"/>
      <c r="Q66"/>
      <c r="R66"/>
      <c r="S66"/>
    </row>
    <row r="67" spans="3:19" ht="24.75" customHeight="1">
      <c r="C67" s="48"/>
      <c r="D67" s="49"/>
      <c r="E67" s="49"/>
      <c r="F67" s="49"/>
      <c r="G67" s="49"/>
      <c r="H67" s="49"/>
      <c r="I67" s="50"/>
      <c r="J67" s="51"/>
      <c r="K67" s="51"/>
      <c r="L67" s="51"/>
      <c r="M67"/>
      <c r="N67"/>
      <c r="O67"/>
      <c r="Q67"/>
      <c r="R67"/>
      <c r="S67"/>
    </row>
    <row r="68" spans="3:19" ht="24.75" customHeight="1">
      <c r="C68" s="48"/>
      <c r="D68" s="49"/>
      <c r="E68" s="49"/>
      <c r="F68" s="49"/>
      <c r="G68" s="49"/>
      <c r="H68" s="49"/>
      <c r="I68" s="50"/>
      <c r="J68" s="51"/>
      <c r="K68" s="51"/>
      <c r="L68" s="51"/>
      <c r="M68"/>
      <c r="N68"/>
      <c r="O68"/>
      <c r="Q68"/>
      <c r="R68"/>
      <c r="S68"/>
    </row>
    <row r="69" spans="3:19" ht="24.75" customHeight="1">
      <c r="C69" s="48"/>
      <c r="D69" s="49"/>
      <c r="E69" s="49"/>
      <c r="F69" s="49"/>
      <c r="G69" s="49"/>
      <c r="H69" s="49"/>
      <c r="I69" s="50"/>
      <c r="J69" s="51"/>
      <c r="K69" s="51"/>
      <c r="L69" s="51"/>
      <c r="M69"/>
      <c r="N69"/>
      <c r="O69"/>
      <c r="Q69"/>
      <c r="R69"/>
      <c r="S69"/>
    </row>
    <row r="70" spans="3:19" ht="24.75" customHeight="1">
      <c r="C70" s="48"/>
      <c r="D70" s="49"/>
      <c r="E70" s="49"/>
      <c r="F70" s="49"/>
      <c r="G70" s="49"/>
      <c r="H70" s="49"/>
      <c r="I70" s="50"/>
      <c r="J70" s="51"/>
      <c r="K70" s="51"/>
      <c r="L70" s="51"/>
      <c r="M70"/>
      <c r="N70"/>
      <c r="O70"/>
      <c r="Q70"/>
      <c r="R70"/>
      <c r="S70"/>
    </row>
    <row r="71" spans="3:19" ht="24.75" customHeight="1">
      <c r="C71" s="48"/>
      <c r="D71" s="49"/>
      <c r="E71" s="49"/>
      <c r="F71" s="49"/>
      <c r="G71" s="49"/>
      <c r="H71" s="49"/>
      <c r="I71" s="50"/>
      <c r="J71" s="51"/>
      <c r="K71" s="51"/>
      <c r="L71" s="51"/>
      <c r="M71"/>
      <c r="N71"/>
      <c r="O71"/>
      <c r="Q71"/>
      <c r="R71"/>
      <c r="S71"/>
    </row>
    <row r="72" spans="3:19" ht="24.75" customHeight="1">
      <c r="C72" s="48"/>
      <c r="D72" s="49"/>
      <c r="E72" s="49"/>
      <c r="F72" s="49"/>
      <c r="G72" s="49"/>
      <c r="H72" s="49"/>
      <c r="I72" s="50"/>
      <c r="J72" s="51"/>
      <c r="K72" s="51"/>
      <c r="L72" s="51"/>
      <c r="M72"/>
      <c r="N72"/>
      <c r="O72"/>
      <c r="Q72"/>
      <c r="R72"/>
      <c r="S72"/>
    </row>
    <row r="73" spans="3:19" ht="24.75" customHeight="1">
      <c r="C73" s="48"/>
      <c r="D73" s="49"/>
      <c r="E73" s="49"/>
      <c r="F73" s="49"/>
      <c r="G73" s="49"/>
      <c r="H73" s="49"/>
      <c r="I73" s="50"/>
      <c r="J73" s="51"/>
      <c r="K73" s="51"/>
      <c r="L73" s="51"/>
      <c r="M73"/>
      <c r="N73"/>
      <c r="O73"/>
      <c r="Q73"/>
      <c r="R73"/>
      <c r="S73"/>
    </row>
    <row r="74" spans="3:19" ht="24.75" customHeight="1">
      <c r="C74" s="48"/>
      <c r="D74" s="49"/>
      <c r="E74" s="49"/>
      <c r="F74" s="49"/>
      <c r="G74" s="49"/>
      <c r="H74" s="49"/>
      <c r="I74" s="50"/>
      <c r="J74" s="51"/>
      <c r="K74" s="51"/>
      <c r="L74" s="51"/>
      <c r="M74"/>
      <c r="N74"/>
      <c r="O74"/>
      <c r="Q74"/>
      <c r="R74"/>
      <c r="S74"/>
    </row>
    <row r="75" spans="3:19" ht="24.75" customHeight="1">
      <c r="C75" s="48"/>
      <c r="D75" s="49"/>
      <c r="E75" s="49"/>
      <c r="F75" s="49"/>
      <c r="G75" s="49"/>
      <c r="H75" s="49"/>
      <c r="I75" s="50"/>
      <c r="J75" s="51"/>
      <c r="K75" s="51"/>
      <c r="L75" s="51"/>
      <c r="M75"/>
      <c r="N75"/>
      <c r="O75"/>
      <c r="Q75"/>
      <c r="R75"/>
      <c r="S75"/>
    </row>
    <row r="76" spans="3:19" ht="24.75" customHeight="1">
      <c r="C76" s="48"/>
      <c r="D76" s="49"/>
      <c r="E76" s="49"/>
      <c r="F76" s="49"/>
      <c r="G76" s="49"/>
      <c r="H76" s="49"/>
      <c r="I76" s="50"/>
      <c r="J76" s="51"/>
      <c r="K76" s="51"/>
      <c r="L76" s="51"/>
      <c r="M76"/>
      <c r="N76"/>
      <c r="O76"/>
      <c r="Q76"/>
      <c r="R76"/>
      <c r="S76"/>
    </row>
    <row r="77" spans="3:19" ht="24.75" customHeight="1">
      <c r="C77" s="48"/>
      <c r="D77" s="49"/>
      <c r="E77" s="49"/>
      <c r="F77" s="49"/>
      <c r="G77" s="49"/>
      <c r="H77" s="49"/>
      <c r="I77" s="50"/>
      <c r="J77" s="51"/>
      <c r="K77" s="51"/>
      <c r="L77" s="51"/>
      <c r="M77"/>
      <c r="N77"/>
      <c r="O77"/>
      <c r="Q77"/>
      <c r="R77"/>
      <c r="S77"/>
    </row>
    <row r="78" spans="3:19" ht="24.75" customHeight="1">
      <c r="C78" s="48"/>
      <c r="D78" s="49"/>
      <c r="E78" s="49"/>
      <c r="F78" s="49"/>
      <c r="G78" s="49"/>
      <c r="H78" s="49"/>
      <c r="I78" s="50"/>
      <c r="J78" s="51"/>
      <c r="K78" s="51"/>
      <c r="L78" s="51"/>
      <c r="M78"/>
      <c r="N78"/>
      <c r="O78"/>
      <c r="Q78"/>
      <c r="R78"/>
      <c r="S78"/>
    </row>
    <row r="79" spans="3:19" ht="24.75" customHeight="1">
      <c r="C79" s="48"/>
      <c r="D79" s="49"/>
      <c r="E79" s="49"/>
      <c r="F79" s="49"/>
      <c r="G79" s="49"/>
      <c r="H79" s="49"/>
      <c r="I79" s="50"/>
      <c r="J79" s="51"/>
      <c r="K79" s="51"/>
      <c r="L79" s="51"/>
      <c r="M79"/>
      <c r="N79"/>
      <c r="O79"/>
      <c r="Q79"/>
      <c r="R79"/>
      <c r="S79"/>
    </row>
    <row r="80" spans="3:19" ht="24.75" customHeight="1">
      <c r="C80" s="48"/>
      <c r="D80" s="49"/>
      <c r="E80" s="49"/>
      <c r="F80" s="49"/>
      <c r="G80" s="49"/>
      <c r="H80" s="49"/>
      <c r="I80" s="50"/>
      <c r="J80" s="51"/>
      <c r="K80" s="51"/>
      <c r="L80" s="51"/>
      <c r="M80"/>
      <c r="N80"/>
      <c r="O80"/>
      <c r="Q80"/>
      <c r="R80"/>
      <c r="S80"/>
    </row>
    <row r="81" spans="3:19" ht="24.75" customHeight="1">
      <c r="C81" s="48"/>
      <c r="D81" s="49"/>
      <c r="E81" s="49"/>
      <c r="F81" s="49"/>
      <c r="G81" s="49"/>
      <c r="H81" s="49"/>
      <c r="I81" s="50"/>
      <c r="J81" s="51"/>
      <c r="K81" s="51"/>
      <c r="L81" s="51"/>
      <c r="M81"/>
      <c r="N81"/>
      <c r="O81"/>
      <c r="Q81"/>
      <c r="R81"/>
      <c r="S81"/>
    </row>
    <row r="82" spans="3:19" ht="24.75" customHeight="1">
      <c r="C82" s="48"/>
      <c r="D82" s="49"/>
      <c r="E82" s="49"/>
      <c r="F82" s="49"/>
      <c r="G82" s="49"/>
      <c r="H82" s="49"/>
      <c r="I82" s="50"/>
      <c r="J82" s="51"/>
      <c r="K82" s="51"/>
      <c r="L82" s="51"/>
      <c r="M82"/>
      <c r="N82"/>
      <c r="O82"/>
      <c r="Q82"/>
      <c r="R82"/>
      <c r="S82"/>
    </row>
    <row r="83" spans="3:19" ht="24.75" customHeight="1">
      <c r="C83" s="48"/>
      <c r="D83" s="49"/>
      <c r="E83" s="49"/>
      <c r="F83" s="49"/>
      <c r="G83" s="49"/>
      <c r="H83" s="49"/>
      <c r="I83" s="50"/>
      <c r="J83" s="51"/>
      <c r="K83" s="51"/>
      <c r="L83" s="51"/>
      <c r="M83"/>
      <c r="N83"/>
      <c r="O83"/>
      <c r="Q83"/>
      <c r="R83"/>
      <c r="S83"/>
    </row>
    <row r="84" spans="3:19" ht="24.75" customHeight="1">
      <c r="C84" s="48"/>
      <c r="D84" s="49"/>
      <c r="E84" s="49"/>
      <c r="F84" s="49"/>
      <c r="G84" s="49"/>
      <c r="H84" s="49"/>
      <c r="I84" s="50"/>
      <c r="J84" s="51"/>
      <c r="K84" s="51"/>
      <c r="L84" s="51"/>
      <c r="M84"/>
      <c r="N84"/>
      <c r="O84"/>
      <c r="Q84"/>
      <c r="R84"/>
      <c r="S84"/>
    </row>
    <row r="85" spans="3:19" ht="24.75" customHeight="1">
      <c r="C85" s="48"/>
      <c r="D85" s="49"/>
      <c r="E85" s="49"/>
      <c r="F85" s="49"/>
      <c r="G85" s="49"/>
      <c r="H85" s="49"/>
      <c r="I85" s="50"/>
      <c r="J85" s="51"/>
      <c r="K85" s="51"/>
      <c r="L85" s="51"/>
      <c r="M85"/>
      <c r="N85"/>
      <c r="O85"/>
      <c r="Q85"/>
      <c r="R85"/>
      <c r="S85"/>
    </row>
    <row r="86" spans="3:19" ht="24.75" customHeight="1">
      <c r="C86" s="48"/>
      <c r="D86" s="49"/>
      <c r="E86" s="49"/>
      <c r="F86" s="49"/>
      <c r="G86" s="49"/>
      <c r="H86" s="49"/>
      <c r="I86" s="50"/>
      <c r="J86" s="51"/>
      <c r="K86" s="51"/>
      <c r="L86" s="51"/>
      <c r="M86"/>
      <c r="N86"/>
      <c r="O86"/>
      <c r="Q86"/>
      <c r="R86"/>
      <c r="S86"/>
    </row>
    <row r="87" spans="3:19" ht="24.75" customHeight="1">
      <c r="C87" s="48"/>
      <c r="D87" s="49"/>
      <c r="E87" s="49"/>
      <c r="F87" s="49"/>
      <c r="G87" s="49"/>
      <c r="H87" s="49"/>
      <c r="I87" s="50"/>
      <c r="J87" s="51"/>
      <c r="K87" s="51"/>
      <c r="L87" s="51"/>
      <c r="M87"/>
      <c r="N87"/>
      <c r="O87"/>
      <c r="Q87"/>
      <c r="R87"/>
      <c r="S87"/>
    </row>
    <row r="88" spans="3:19" ht="24.75" customHeight="1">
      <c r="C88" s="48"/>
      <c r="D88" s="49"/>
      <c r="E88" s="49"/>
      <c r="F88" s="49"/>
      <c r="G88" s="49"/>
      <c r="H88" s="49"/>
      <c r="I88" s="50"/>
      <c r="J88" s="51"/>
      <c r="K88" s="51"/>
      <c r="L88" s="51"/>
      <c r="M88"/>
      <c r="N88"/>
      <c r="O88"/>
      <c r="Q88"/>
      <c r="R88"/>
      <c r="S88"/>
    </row>
    <row r="89" spans="3:19" ht="24.75" customHeight="1">
      <c r="C89" s="48"/>
      <c r="D89" s="49"/>
      <c r="E89" s="49"/>
      <c r="F89" s="49"/>
      <c r="G89" s="49"/>
      <c r="H89" s="49"/>
      <c r="I89" s="50"/>
      <c r="J89" s="51"/>
      <c r="K89" s="51"/>
      <c r="L89" s="51"/>
      <c r="M89"/>
      <c r="N89"/>
      <c r="O89"/>
      <c r="Q89"/>
      <c r="R89"/>
      <c r="S89"/>
    </row>
    <row r="90" spans="3:19" ht="24.75" customHeight="1">
      <c r="C90" s="48"/>
      <c r="D90" s="49"/>
      <c r="E90" s="49"/>
      <c r="F90" s="49"/>
      <c r="G90" s="49"/>
      <c r="H90" s="49"/>
      <c r="I90" s="50"/>
      <c r="J90" s="51"/>
      <c r="K90" s="51"/>
      <c r="L90" s="51"/>
      <c r="M90"/>
      <c r="N90"/>
      <c r="O90"/>
      <c r="Q90"/>
      <c r="R90"/>
      <c r="S90"/>
    </row>
    <row r="91" spans="3:19" ht="24.75" customHeight="1">
      <c r="C91" s="48"/>
      <c r="D91" s="49"/>
      <c r="E91" s="49"/>
      <c r="F91" s="49"/>
      <c r="G91" s="49"/>
      <c r="H91" s="49"/>
      <c r="I91" s="50"/>
      <c r="J91" s="51"/>
      <c r="K91" s="51"/>
      <c r="L91" s="51"/>
      <c r="M91"/>
      <c r="N91"/>
      <c r="O91"/>
      <c r="Q91"/>
      <c r="R91"/>
      <c r="S91"/>
    </row>
    <row r="92" spans="3:19" ht="24.75" customHeight="1">
      <c r="C92" s="48"/>
      <c r="D92" s="49"/>
      <c r="E92" s="49"/>
      <c r="F92" s="49"/>
      <c r="G92" s="49"/>
      <c r="H92" s="49"/>
      <c r="I92" s="50"/>
      <c r="J92" s="51"/>
      <c r="K92" s="51"/>
      <c r="L92" s="51"/>
      <c r="M92"/>
      <c r="N92"/>
      <c r="O92"/>
      <c r="Q92"/>
      <c r="R92"/>
      <c r="S92"/>
    </row>
    <row r="93" spans="3:19" ht="24.75" customHeight="1">
      <c r="C93" s="48"/>
      <c r="D93" s="49"/>
      <c r="E93" s="49"/>
      <c r="F93" s="49"/>
      <c r="G93" s="49"/>
      <c r="H93" s="49"/>
      <c r="I93" s="50"/>
      <c r="J93" s="51"/>
      <c r="K93" s="51"/>
      <c r="L93" s="51"/>
      <c r="M93"/>
      <c r="N93"/>
      <c r="O93"/>
      <c r="Q93"/>
      <c r="R93"/>
      <c r="S93"/>
    </row>
    <row r="94" spans="3:19" ht="24.75" customHeight="1">
      <c r="C94" s="48"/>
      <c r="D94" s="49"/>
      <c r="E94" s="49"/>
      <c r="F94" s="49"/>
      <c r="G94" s="49"/>
      <c r="H94" s="49"/>
      <c r="I94" s="50"/>
      <c r="J94" s="51"/>
      <c r="K94" s="51"/>
      <c r="L94" s="51"/>
      <c r="M94"/>
      <c r="N94"/>
      <c r="O94"/>
      <c r="Q94"/>
      <c r="R94"/>
      <c r="S94"/>
    </row>
    <row r="95" spans="3:19" ht="24.75" customHeight="1">
      <c r="C95" s="48"/>
      <c r="D95" s="49"/>
      <c r="E95" s="49"/>
      <c r="F95" s="49"/>
      <c r="G95" s="49"/>
      <c r="H95" s="49"/>
      <c r="I95" s="50"/>
      <c r="J95" s="51"/>
      <c r="K95" s="51"/>
      <c r="L95" s="51"/>
      <c r="M95"/>
      <c r="N95"/>
      <c r="O95"/>
      <c r="Q95"/>
      <c r="R95"/>
      <c r="S95"/>
    </row>
    <row r="96" spans="3:19" ht="24.75" customHeight="1">
      <c r="C96" s="48"/>
      <c r="D96" s="49"/>
      <c r="E96" s="49"/>
      <c r="F96" s="49"/>
      <c r="G96" s="49"/>
      <c r="H96" s="49"/>
      <c r="I96" s="50"/>
      <c r="J96" s="51"/>
      <c r="K96" s="51"/>
      <c r="L96" s="51"/>
      <c r="M96"/>
      <c r="N96"/>
      <c r="O96"/>
      <c r="Q96"/>
      <c r="R96"/>
      <c r="S96"/>
    </row>
    <row r="97" spans="3:19" ht="24.75" customHeight="1">
      <c r="C97" s="48"/>
      <c r="D97" s="49"/>
      <c r="E97" s="49"/>
      <c r="F97" s="49"/>
      <c r="G97" s="49"/>
      <c r="H97" s="49"/>
      <c r="I97" s="50"/>
      <c r="J97" s="51"/>
      <c r="K97" s="51"/>
      <c r="L97" s="51"/>
      <c r="M97"/>
      <c r="N97"/>
      <c r="O97"/>
      <c r="Q97"/>
      <c r="R97"/>
      <c r="S97"/>
    </row>
    <row r="98" spans="3:19" ht="24.75" customHeight="1">
      <c r="C98" s="48"/>
      <c r="D98" s="49"/>
      <c r="E98" s="49"/>
      <c r="F98" s="49"/>
      <c r="G98" s="49"/>
      <c r="H98" s="49"/>
      <c r="I98" s="50"/>
      <c r="J98" s="51"/>
      <c r="K98" s="51"/>
      <c r="L98" s="51"/>
      <c r="M98"/>
      <c r="N98"/>
      <c r="O98"/>
      <c r="Q98"/>
      <c r="R98"/>
      <c r="S98"/>
    </row>
    <row r="99" spans="3:19" ht="24.75" customHeight="1">
      <c r="C99" s="48"/>
      <c r="D99" s="49"/>
      <c r="E99" s="49"/>
      <c r="F99" s="49"/>
      <c r="G99" s="49"/>
      <c r="H99" s="49"/>
      <c r="I99" s="50"/>
      <c r="J99" s="51"/>
      <c r="K99" s="51"/>
      <c r="L99" s="51"/>
      <c r="M99"/>
      <c r="N99"/>
      <c r="O99"/>
      <c r="Q99"/>
      <c r="R99"/>
      <c r="S99"/>
    </row>
    <row r="100" spans="3:19" ht="24.75" customHeight="1">
      <c r="C100" s="48"/>
      <c r="D100" s="49"/>
      <c r="E100" s="49"/>
      <c r="F100" s="49"/>
      <c r="G100" s="49"/>
      <c r="H100" s="49"/>
      <c r="I100" s="50"/>
      <c r="J100" s="51"/>
      <c r="K100" s="51"/>
      <c r="L100" s="51"/>
      <c r="M100"/>
      <c r="N100"/>
      <c r="O100"/>
      <c r="Q100"/>
      <c r="R100"/>
      <c r="S100"/>
    </row>
    <row r="101" spans="3:19" ht="24.75" customHeight="1">
      <c r="C101" s="48"/>
      <c r="D101" s="49"/>
      <c r="E101" s="49"/>
      <c r="F101" s="49"/>
      <c r="G101" s="49"/>
      <c r="H101" s="49"/>
      <c r="I101" s="50"/>
      <c r="J101" s="51"/>
      <c r="K101" s="51"/>
      <c r="L101" s="51"/>
      <c r="M101"/>
      <c r="N101"/>
      <c r="O101"/>
      <c r="Q101"/>
      <c r="R101"/>
      <c r="S101"/>
    </row>
    <row r="102" spans="3:19" ht="24.75" customHeight="1">
      <c r="C102" s="48"/>
      <c r="D102" s="49"/>
      <c r="E102" s="49"/>
      <c r="F102" s="49"/>
      <c r="G102" s="49"/>
      <c r="H102" s="49"/>
      <c r="I102" s="50"/>
      <c r="J102" s="51"/>
      <c r="K102" s="51"/>
      <c r="L102" s="51"/>
      <c r="M102"/>
      <c r="N102"/>
      <c r="O102"/>
      <c r="Q102"/>
      <c r="R102"/>
      <c r="S102"/>
    </row>
  </sheetData>
  <sheetProtection password="EFEB" sheet="1" objects="1" scenarios="1"/>
  <mergeCells count="6">
    <mergeCell ref="D23:K23"/>
    <mergeCell ref="B2:S2"/>
    <mergeCell ref="M3:O3"/>
    <mergeCell ref="Q3:S3"/>
    <mergeCell ref="J4:L4"/>
    <mergeCell ref="D21:K2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2:AK101"/>
  <sheetViews>
    <sheetView topLeftCell="I1" workbookViewId="0">
      <selection activeCell="W17" sqref="W17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45.140625" customWidth="1"/>
    <col min="9" max="9" width="25.5703125" style="2" customWidth="1"/>
    <col min="10" max="12" width="9.140625" style="3"/>
    <col min="13" max="13" width="14.5703125" style="4" customWidth="1"/>
    <col min="14" max="15" width="14.85546875" style="4" customWidth="1"/>
    <col min="16" max="16" width="16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42578125" customWidth="1"/>
    <col min="255" max="255" width="16.425781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4" width="14.5703125" customWidth="1"/>
    <col min="265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42578125" customWidth="1"/>
    <col min="511" max="511" width="16.425781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0" width="14.5703125" customWidth="1"/>
    <col min="521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42578125" customWidth="1"/>
    <col min="767" max="767" width="16.425781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6" width="14.5703125" customWidth="1"/>
    <col min="777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42578125" customWidth="1"/>
    <col min="1023" max="1023" width="16.425781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2" width="14.5703125" customWidth="1"/>
    <col min="1033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42578125" customWidth="1"/>
    <col min="1279" max="1279" width="16.425781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8" width="14.5703125" customWidth="1"/>
    <col min="1289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42578125" customWidth="1"/>
    <col min="1535" max="1535" width="16.425781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4" width="14.5703125" customWidth="1"/>
    <col min="1545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42578125" customWidth="1"/>
    <col min="1791" max="1791" width="16.425781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0" width="14.5703125" customWidth="1"/>
    <col min="1801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42578125" customWidth="1"/>
    <col min="2047" max="2047" width="16.425781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6" width="14.5703125" customWidth="1"/>
    <col min="2057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42578125" customWidth="1"/>
    <col min="2303" max="2303" width="16.425781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2" width="14.5703125" customWidth="1"/>
    <col min="2313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42578125" customWidth="1"/>
    <col min="2559" max="2559" width="16.425781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8" width="14.5703125" customWidth="1"/>
    <col min="2569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42578125" customWidth="1"/>
    <col min="2815" max="2815" width="16.425781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4" width="14.5703125" customWidth="1"/>
    <col min="2825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42578125" customWidth="1"/>
    <col min="3071" max="3071" width="16.425781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0" width="14.5703125" customWidth="1"/>
    <col min="3081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42578125" customWidth="1"/>
    <col min="3327" max="3327" width="16.425781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6" width="14.5703125" customWidth="1"/>
    <col min="3337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42578125" customWidth="1"/>
    <col min="3583" max="3583" width="16.425781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2" width="14.5703125" customWidth="1"/>
    <col min="3593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42578125" customWidth="1"/>
    <col min="3839" max="3839" width="16.425781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8" width="14.5703125" customWidth="1"/>
    <col min="3849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42578125" customWidth="1"/>
    <col min="4095" max="4095" width="16.425781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4" width="14.5703125" customWidth="1"/>
    <col min="4105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42578125" customWidth="1"/>
    <col min="4351" max="4351" width="16.425781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0" width="14.5703125" customWidth="1"/>
    <col min="4361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42578125" customWidth="1"/>
    <col min="4607" max="4607" width="16.425781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6" width="14.5703125" customWidth="1"/>
    <col min="4617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42578125" customWidth="1"/>
    <col min="4863" max="4863" width="16.425781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2" width="14.5703125" customWidth="1"/>
    <col min="4873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42578125" customWidth="1"/>
    <col min="5119" max="5119" width="16.425781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8" width="14.5703125" customWidth="1"/>
    <col min="5129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42578125" customWidth="1"/>
    <col min="5375" max="5375" width="16.425781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4" width="14.5703125" customWidth="1"/>
    <col min="5385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42578125" customWidth="1"/>
    <col min="5631" max="5631" width="16.425781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0" width="14.5703125" customWidth="1"/>
    <col min="5641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42578125" customWidth="1"/>
    <col min="5887" max="5887" width="16.425781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6" width="14.5703125" customWidth="1"/>
    <col min="5897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42578125" customWidth="1"/>
    <col min="6143" max="6143" width="16.425781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2" width="14.5703125" customWidth="1"/>
    <col min="6153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42578125" customWidth="1"/>
    <col min="6399" max="6399" width="16.425781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8" width="14.5703125" customWidth="1"/>
    <col min="6409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42578125" customWidth="1"/>
    <col min="6655" max="6655" width="16.425781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4" width="14.5703125" customWidth="1"/>
    <col min="6665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42578125" customWidth="1"/>
    <col min="6911" max="6911" width="16.425781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0" width="14.5703125" customWidth="1"/>
    <col min="6921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42578125" customWidth="1"/>
    <col min="7167" max="7167" width="16.425781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6" width="14.5703125" customWidth="1"/>
    <col min="7177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42578125" customWidth="1"/>
    <col min="7423" max="7423" width="16.425781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2" width="14.5703125" customWidth="1"/>
    <col min="7433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42578125" customWidth="1"/>
    <col min="7679" max="7679" width="16.425781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8" width="14.5703125" customWidth="1"/>
    <col min="7689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42578125" customWidth="1"/>
    <col min="7935" max="7935" width="16.425781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4" width="14.5703125" customWidth="1"/>
    <col min="7945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42578125" customWidth="1"/>
    <col min="8191" max="8191" width="16.425781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0" width="14.5703125" customWidth="1"/>
    <col min="8201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42578125" customWidth="1"/>
    <col min="8447" max="8447" width="16.425781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6" width="14.5703125" customWidth="1"/>
    <col min="8457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42578125" customWidth="1"/>
    <col min="8703" max="8703" width="16.425781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2" width="14.5703125" customWidth="1"/>
    <col min="8713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42578125" customWidth="1"/>
    <col min="8959" max="8959" width="16.425781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8" width="14.5703125" customWidth="1"/>
    <col min="8969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42578125" customWidth="1"/>
    <col min="9215" max="9215" width="16.425781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4" width="14.5703125" customWidth="1"/>
    <col min="9225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42578125" customWidth="1"/>
    <col min="9471" max="9471" width="16.425781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0" width="14.5703125" customWidth="1"/>
    <col min="9481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42578125" customWidth="1"/>
    <col min="9727" max="9727" width="16.425781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6" width="14.5703125" customWidth="1"/>
    <col min="9737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42578125" customWidth="1"/>
    <col min="9983" max="9983" width="16.425781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2" width="14.5703125" customWidth="1"/>
    <col min="9993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42578125" customWidth="1"/>
    <col min="10239" max="10239" width="16.425781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8" width="14.5703125" customWidth="1"/>
    <col min="10249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42578125" customWidth="1"/>
    <col min="10495" max="10495" width="16.425781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4" width="14.5703125" customWidth="1"/>
    <col min="10505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42578125" customWidth="1"/>
    <col min="10751" max="10751" width="16.425781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0" width="14.5703125" customWidth="1"/>
    <col min="10761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42578125" customWidth="1"/>
    <col min="11007" max="11007" width="16.425781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6" width="14.5703125" customWidth="1"/>
    <col min="11017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42578125" customWidth="1"/>
    <col min="11263" max="11263" width="16.425781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2" width="14.5703125" customWidth="1"/>
    <col min="11273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42578125" customWidth="1"/>
    <col min="11519" max="11519" width="16.425781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8" width="14.5703125" customWidth="1"/>
    <col min="11529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42578125" customWidth="1"/>
    <col min="11775" max="11775" width="16.425781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4" width="14.5703125" customWidth="1"/>
    <col min="11785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42578125" customWidth="1"/>
    <col min="12031" max="12031" width="16.425781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0" width="14.5703125" customWidth="1"/>
    <col min="12041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42578125" customWidth="1"/>
    <col min="12287" max="12287" width="16.425781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6" width="14.5703125" customWidth="1"/>
    <col min="12297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42578125" customWidth="1"/>
    <col min="12543" max="12543" width="16.425781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2" width="14.5703125" customWidth="1"/>
    <col min="12553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42578125" customWidth="1"/>
    <col min="12799" max="12799" width="16.425781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8" width="14.5703125" customWidth="1"/>
    <col min="12809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42578125" customWidth="1"/>
    <col min="13055" max="13055" width="16.425781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4" width="14.5703125" customWidth="1"/>
    <col min="13065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42578125" customWidth="1"/>
    <col min="13311" max="13311" width="16.425781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0" width="14.5703125" customWidth="1"/>
    <col min="13321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42578125" customWidth="1"/>
    <col min="13567" max="13567" width="16.425781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6" width="14.5703125" customWidth="1"/>
    <col min="13577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42578125" customWidth="1"/>
    <col min="13823" max="13823" width="16.425781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2" width="14.5703125" customWidth="1"/>
    <col min="13833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42578125" customWidth="1"/>
    <col min="14079" max="14079" width="16.425781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8" width="14.5703125" customWidth="1"/>
    <col min="14089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42578125" customWidth="1"/>
    <col min="14335" max="14335" width="16.425781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4" width="14.5703125" customWidth="1"/>
    <col min="14345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42578125" customWidth="1"/>
    <col min="14591" max="14591" width="16.425781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0" width="14.5703125" customWidth="1"/>
    <col min="14601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42578125" customWidth="1"/>
    <col min="14847" max="14847" width="16.425781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6" width="14.5703125" customWidth="1"/>
    <col min="14857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42578125" customWidth="1"/>
    <col min="15103" max="15103" width="16.425781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2" width="14.5703125" customWidth="1"/>
    <col min="15113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42578125" customWidth="1"/>
    <col min="15359" max="15359" width="16.425781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8" width="14.5703125" customWidth="1"/>
    <col min="15369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42578125" customWidth="1"/>
    <col min="15615" max="15615" width="16.425781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4" width="14.5703125" customWidth="1"/>
    <col min="15625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42578125" customWidth="1"/>
    <col min="15871" max="15871" width="16.425781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0" width="14.5703125" customWidth="1"/>
    <col min="15881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42578125" customWidth="1"/>
    <col min="16127" max="16127" width="16.425781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6" width="14.5703125" customWidth="1"/>
    <col min="16137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2" spans="2:37" ht="22.5" customHeight="1" thickBot="1">
      <c r="B2" s="357" t="s">
        <v>167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65"/>
      <c r="N2" s="365"/>
      <c r="O2" s="365"/>
      <c r="P2" s="365"/>
      <c r="Q2" s="365"/>
      <c r="R2" s="365"/>
      <c r="S2" s="365"/>
    </row>
    <row r="3" spans="2:37" s="7" customFormat="1" ht="32.25" customHeight="1" thickBot="1">
      <c r="B3" s="86"/>
      <c r="C3" s="86"/>
      <c r="D3" s="86"/>
      <c r="E3" s="225"/>
      <c r="F3" s="160"/>
      <c r="G3" s="162"/>
      <c r="H3" s="160"/>
      <c r="I3" s="86"/>
      <c r="J3" s="86"/>
      <c r="K3" s="86"/>
      <c r="L3" s="86"/>
      <c r="M3" s="366" t="s">
        <v>26</v>
      </c>
      <c r="N3" s="367"/>
      <c r="O3" s="368"/>
      <c r="P3" s="275" t="s">
        <v>33</v>
      </c>
      <c r="Q3" s="367" t="s">
        <v>34</v>
      </c>
      <c r="R3" s="367"/>
      <c r="S3" s="36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2:37" ht="26.25" thickBot="1">
      <c r="B4" s="267" t="s">
        <v>0</v>
      </c>
      <c r="C4" s="276" t="s">
        <v>165</v>
      </c>
      <c r="D4" s="277" t="s">
        <v>1</v>
      </c>
      <c r="E4" s="267" t="s">
        <v>481</v>
      </c>
      <c r="F4" s="278" t="s">
        <v>115</v>
      </c>
      <c r="G4" s="279" t="s">
        <v>164</v>
      </c>
      <c r="H4" s="278" t="s">
        <v>116</v>
      </c>
      <c r="I4" s="278" t="s">
        <v>2</v>
      </c>
      <c r="J4" s="363" t="s">
        <v>3</v>
      </c>
      <c r="K4" s="363"/>
      <c r="L4" s="364"/>
      <c r="M4" s="280" t="s">
        <v>27</v>
      </c>
      <c r="N4" s="281" t="s">
        <v>28</v>
      </c>
      <c r="O4" s="281" t="s">
        <v>29</v>
      </c>
      <c r="P4" s="281" t="s">
        <v>35</v>
      </c>
      <c r="Q4" s="282" t="s">
        <v>4</v>
      </c>
      <c r="R4" s="282" t="s">
        <v>5</v>
      </c>
      <c r="S4" s="283" t="s">
        <v>6</v>
      </c>
    </row>
    <row r="5" spans="2:37" s="16" customFormat="1" ht="12.75">
      <c r="B5" s="106">
        <v>1</v>
      </c>
      <c r="C5" s="188" t="s">
        <v>43</v>
      </c>
      <c r="D5" s="108" t="s">
        <v>57</v>
      </c>
      <c r="E5" s="232" t="s">
        <v>482</v>
      </c>
      <c r="F5" s="169" t="s">
        <v>118</v>
      </c>
      <c r="G5" s="186" t="s">
        <v>117</v>
      </c>
      <c r="H5" s="170" t="str">
        <f>UPPER(G5)</f>
        <v>REUNIÃO DO CONSELHO DE ADMINISTRAÇÃO DO HCPA.</v>
      </c>
      <c r="I5" s="109" t="s">
        <v>56</v>
      </c>
      <c r="J5" s="150">
        <v>43466</v>
      </c>
      <c r="K5" s="111">
        <v>21</v>
      </c>
      <c r="L5" s="112">
        <v>21</v>
      </c>
      <c r="M5" s="124">
        <v>0</v>
      </c>
      <c r="N5" s="124">
        <v>0</v>
      </c>
      <c r="O5" s="124"/>
      <c r="P5" s="118">
        <v>0</v>
      </c>
      <c r="Q5" s="113">
        <v>1692.37</v>
      </c>
      <c r="R5" s="114">
        <v>0</v>
      </c>
      <c r="S5" s="115">
        <f>M5+N5+O5+P5+Q5+R5</f>
        <v>1692.37</v>
      </c>
      <c r="T5" s="15"/>
      <c r="U5" s="15"/>
      <c r="V5" s="15"/>
      <c r="W5" s="15"/>
    </row>
    <row r="6" spans="2:37" s="16" customFormat="1" ht="12.75">
      <c r="B6" s="94">
        <v>2</v>
      </c>
      <c r="C6" s="189" t="s">
        <v>44</v>
      </c>
      <c r="D6" s="53" t="s">
        <v>58</v>
      </c>
      <c r="E6" s="230" t="s">
        <v>486</v>
      </c>
      <c r="F6" s="228" t="s">
        <v>118</v>
      </c>
      <c r="G6" s="181" t="s">
        <v>117</v>
      </c>
      <c r="H6" s="163" t="str">
        <f>UPPER(G6)</f>
        <v>REUNIÃO DO CONSELHO DE ADMINISTRAÇÃO DO HCPA.</v>
      </c>
      <c r="I6" s="9" t="s">
        <v>56</v>
      </c>
      <c r="J6" s="155">
        <v>43466</v>
      </c>
      <c r="K6" s="10">
        <v>21</v>
      </c>
      <c r="L6" s="11">
        <v>21</v>
      </c>
      <c r="M6" s="57">
        <v>0</v>
      </c>
      <c r="N6" s="57">
        <v>0</v>
      </c>
      <c r="O6" s="57"/>
      <c r="P6" s="54">
        <v>0</v>
      </c>
      <c r="Q6" s="13">
        <v>1692.37</v>
      </c>
      <c r="R6" s="14">
        <v>0</v>
      </c>
      <c r="S6" s="93">
        <f t="shared" ref="S6:S17" si="0">M6+N6+O6+P6+Q6+R6</f>
        <v>1692.37</v>
      </c>
      <c r="T6" s="15"/>
      <c r="U6" s="15"/>
      <c r="V6" s="15"/>
      <c r="W6" s="15"/>
    </row>
    <row r="7" spans="2:37" s="16" customFormat="1" ht="12.75">
      <c r="B7" s="94">
        <v>3</v>
      </c>
      <c r="C7" s="190" t="s">
        <v>45</v>
      </c>
      <c r="D7" s="18" t="s">
        <v>59</v>
      </c>
      <c r="E7" s="230" t="s">
        <v>487</v>
      </c>
      <c r="F7" s="228" t="s">
        <v>119</v>
      </c>
      <c r="G7" s="181" t="s">
        <v>120</v>
      </c>
      <c r="H7" s="163" t="str">
        <f t="shared" ref="H7:H17" si="1">UPPER(G7)</f>
        <v>REUNIÃO DO CONSELHO FISCAL DO HCPA.</v>
      </c>
      <c r="I7" s="9" t="s">
        <v>56</v>
      </c>
      <c r="J7" s="155">
        <v>43466</v>
      </c>
      <c r="K7" s="156">
        <v>24</v>
      </c>
      <c r="L7" s="157">
        <v>25</v>
      </c>
      <c r="M7" s="57">
        <v>0</v>
      </c>
      <c r="N7" s="57">
        <v>97</v>
      </c>
      <c r="O7" s="57"/>
      <c r="P7" s="54">
        <f>36.64+31+30+11.16</f>
        <v>108.8</v>
      </c>
      <c r="Q7" s="13">
        <f>744.39+1058.98</f>
        <v>1803.37</v>
      </c>
      <c r="R7" s="14">
        <f>238.7+74.15+238.7+6.5</f>
        <v>558.04999999999995</v>
      </c>
      <c r="S7" s="93">
        <f t="shared" si="0"/>
        <v>2567.2199999999998</v>
      </c>
      <c r="T7" s="15"/>
      <c r="U7" s="15"/>
      <c r="V7" s="15"/>
      <c r="W7" s="15"/>
    </row>
    <row r="8" spans="2:37" s="16" customFormat="1" ht="12.75">
      <c r="B8" s="94">
        <v>4</v>
      </c>
      <c r="C8" s="190" t="s">
        <v>46</v>
      </c>
      <c r="D8" s="18" t="s">
        <v>60</v>
      </c>
      <c r="E8" s="230" t="s">
        <v>488</v>
      </c>
      <c r="F8" s="228" t="s">
        <v>119</v>
      </c>
      <c r="G8" s="181" t="s">
        <v>120</v>
      </c>
      <c r="H8" s="163" t="str">
        <f t="shared" si="1"/>
        <v>REUNIÃO DO CONSELHO FISCAL DO HCPA.</v>
      </c>
      <c r="I8" s="9" t="s">
        <v>56</v>
      </c>
      <c r="J8" s="155">
        <v>43466</v>
      </c>
      <c r="K8" s="156">
        <v>22</v>
      </c>
      <c r="L8" s="157">
        <v>25</v>
      </c>
      <c r="M8" s="57">
        <v>0</v>
      </c>
      <c r="N8" s="57">
        <f>213.36+90.49</f>
        <v>303.85000000000002</v>
      </c>
      <c r="O8" s="57"/>
      <c r="P8" s="54">
        <f>42.88+14.54+19.22+51.93+63.82+12.46+8.04+12.98</f>
        <v>225.86999999999998</v>
      </c>
      <c r="Q8" s="13">
        <f>1123.98+855.39</f>
        <v>1979.37</v>
      </c>
      <c r="R8" s="14">
        <f>716.1+338.8+238.7+13.65</f>
        <v>1307.2500000000002</v>
      </c>
      <c r="S8" s="93">
        <f t="shared" si="0"/>
        <v>3816.34</v>
      </c>
      <c r="T8" s="15"/>
      <c r="U8" s="15"/>
      <c r="V8" s="15"/>
      <c r="W8" s="15"/>
    </row>
    <row r="9" spans="2:37" s="16" customFormat="1" ht="12.75">
      <c r="B9" s="94">
        <v>5</v>
      </c>
      <c r="C9" s="190" t="s">
        <v>47</v>
      </c>
      <c r="D9" s="18" t="s">
        <v>61</v>
      </c>
      <c r="E9" s="230" t="s">
        <v>495</v>
      </c>
      <c r="F9" s="228" t="s">
        <v>119</v>
      </c>
      <c r="G9" s="181" t="s">
        <v>120</v>
      </c>
      <c r="H9" s="163" t="str">
        <f t="shared" si="1"/>
        <v>REUNIÃO DO CONSELHO FISCAL DO HCPA.</v>
      </c>
      <c r="I9" s="9" t="s">
        <v>56</v>
      </c>
      <c r="J9" s="155">
        <v>43466</v>
      </c>
      <c r="K9" s="156">
        <v>24</v>
      </c>
      <c r="L9" s="157">
        <v>25</v>
      </c>
      <c r="M9" s="57">
        <v>0</v>
      </c>
      <c r="N9" s="57">
        <v>0</v>
      </c>
      <c r="O9" s="57"/>
      <c r="P9" s="54">
        <v>0</v>
      </c>
      <c r="Q9" s="13">
        <f>744.39+1058.98</f>
        <v>1803.37</v>
      </c>
      <c r="R9" s="14">
        <v>238.7</v>
      </c>
      <c r="S9" s="93">
        <f t="shared" si="0"/>
        <v>2042.07</v>
      </c>
      <c r="T9" s="15"/>
      <c r="U9" s="15"/>
      <c r="V9" s="15"/>
      <c r="W9" s="15"/>
    </row>
    <row r="10" spans="2:37" s="16" customFormat="1" ht="34.5" customHeight="1">
      <c r="B10" s="94">
        <v>6</v>
      </c>
      <c r="C10" s="190" t="s">
        <v>48</v>
      </c>
      <c r="D10" s="159" t="s">
        <v>62</v>
      </c>
      <c r="E10" s="230" t="s">
        <v>489</v>
      </c>
      <c r="F10" s="167" t="s">
        <v>121</v>
      </c>
      <c r="G10" s="179" t="s">
        <v>122</v>
      </c>
      <c r="H10" s="164" t="str">
        <f t="shared" si="1"/>
        <v>ACOMPANHAR DESLOCAMENTO DE PACIENTE DO PROGR. REABIL. INTESTINAL (PRICA) E PASSAR ORIENTAÇÕES DE CUIDADOS Á PROFISSIONAIS E FAMILIARES NA CIDADE.</v>
      </c>
      <c r="I10" s="9" t="s">
        <v>63</v>
      </c>
      <c r="J10" s="17">
        <v>43466</v>
      </c>
      <c r="K10" s="10">
        <v>18</v>
      </c>
      <c r="L10" s="11">
        <v>18</v>
      </c>
      <c r="M10" s="57">
        <v>0</v>
      </c>
      <c r="N10" s="57">
        <v>0</v>
      </c>
      <c r="O10" s="57"/>
      <c r="P10" s="54">
        <v>0</v>
      </c>
      <c r="Q10" s="13">
        <v>1690.4449999999999</v>
      </c>
      <c r="R10" s="14">
        <v>0</v>
      </c>
      <c r="S10" s="93">
        <f t="shared" si="0"/>
        <v>1690.4449999999999</v>
      </c>
      <c r="T10" s="15"/>
      <c r="U10" s="15"/>
      <c r="V10" s="15"/>
      <c r="W10" s="15"/>
    </row>
    <row r="11" spans="2:37" s="16" customFormat="1" ht="33.75">
      <c r="B11" s="94">
        <v>7</v>
      </c>
      <c r="C11" s="190" t="s">
        <v>49</v>
      </c>
      <c r="D11" s="159" t="s">
        <v>64</v>
      </c>
      <c r="E11" s="230" t="s">
        <v>490</v>
      </c>
      <c r="F11" s="228" t="s">
        <v>123</v>
      </c>
      <c r="G11" s="179" t="s">
        <v>124</v>
      </c>
      <c r="H11" s="164" t="str">
        <f t="shared" si="1"/>
        <v>MINISTRAR TREINAMENTO - PROJETO AGHUSE - HOSPITAL MILITAR DO EXÉRCITO - MÓDULO DE MANUTENÇÃO.</v>
      </c>
      <c r="I11" s="9" t="s">
        <v>65</v>
      </c>
      <c r="J11" s="17">
        <v>43466</v>
      </c>
      <c r="K11" s="10">
        <v>23</v>
      </c>
      <c r="L11" s="11">
        <v>25</v>
      </c>
      <c r="M11" s="57">
        <v>0</v>
      </c>
      <c r="N11" s="57">
        <v>65.87</v>
      </c>
      <c r="O11" s="57"/>
      <c r="P11" s="54">
        <f>32+46+25+31+22+29+24+28</f>
        <v>237</v>
      </c>
      <c r="Q11" s="13">
        <v>1459.37</v>
      </c>
      <c r="R11" s="14">
        <f>565.51+128.7</f>
        <v>694.21</v>
      </c>
      <c r="S11" s="93">
        <f t="shared" si="0"/>
        <v>2456.4499999999998</v>
      </c>
      <c r="T11" s="15"/>
      <c r="U11" s="15"/>
      <c r="V11" s="15"/>
      <c r="W11" s="15"/>
    </row>
    <row r="12" spans="2:37" s="16" customFormat="1" ht="33.75">
      <c r="B12" s="94">
        <v>8</v>
      </c>
      <c r="C12" s="189" t="s">
        <v>50</v>
      </c>
      <c r="D12" s="159" t="s">
        <v>66</v>
      </c>
      <c r="E12" s="230" t="s">
        <v>491</v>
      </c>
      <c r="F12" s="167" t="s">
        <v>125</v>
      </c>
      <c r="G12" s="179" t="s">
        <v>124</v>
      </c>
      <c r="H12" s="164" t="str">
        <f t="shared" si="1"/>
        <v>MINISTRAR TREINAMENTO - PROJETO AGHUSE - HOSPITAL MILITAR DO EXÉRCITO - MÓDULO DE MANUTENÇÃO.</v>
      </c>
      <c r="I12" s="9" t="s">
        <v>65</v>
      </c>
      <c r="J12" s="17">
        <v>43466</v>
      </c>
      <c r="K12" s="10">
        <v>23</v>
      </c>
      <c r="L12" s="11">
        <v>25</v>
      </c>
      <c r="M12" s="57">
        <v>0</v>
      </c>
      <c r="N12" s="57">
        <v>51.02</v>
      </c>
      <c r="O12" s="57"/>
      <c r="P12" s="54">
        <v>0</v>
      </c>
      <c r="Q12" s="13">
        <v>1459.37</v>
      </c>
      <c r="R12" s="14">
        <f>563.2+123.2</f>
        <v>686.40000000000009</v>
      </c>
      <c r="S12" s="93">
        <f t="shared" si="0"/>
        <v>2196.79</v>
      </c>
      <c r="T12" s="15"/>
      <c r="U12" s="15"/>
      <c r="V12" s="15"/>
      <c r="W12" s="15"/>
    </row>
    <row r="13" spans="2:37" s="16" customFormat="1" ht="22.5">
      <c r="B13" s="94">
        <v>9</v>
      </c>
      <c r="C13" s="189" t="s">
        <v>51</v>
      </c>
      <c r="D13" s="18" t="s">
        <v>67</v>
      </c>
      <c r="E13" s="230" t="s">
        <v>492</v>
      </c>
      <c r="F13" s="229" t="s">
        <v>126</v>
      </c>
      <c r="G13" s="187" t="s">
        <v>127</v>
      </c>
      <c r="H13" s="164" t="str">
        <f t="shared" si="1"/>
        <v>CONVÊNIO HCPA/FMSRGS-AGHUSE - BNDES - VISTA HOSPITAL UNIVERSITÁRIO JUIZ DE FORA.</v>
      </c>
      <c r="I13" s="9" t="s">
        <v>68</v>
      </c>
      <c r="J13" s="17">
        <v>43497</v>
      </c>
      <c r="K13" s="10">
        <v>3</v>
      </c>
      <c r="L13" s="11">
        <v>4</v>
      </c>
      <c r="M13" s="57">
        <v>200</v>
      </c>
      <c r="N13" s="57">
        <v>160.19</v>
      </c>
      <c r="O13" s="57"/>
      <c r="P13" s="54">
        <v>0</v>
      </c>
      <c r="Q13" s="13">
        <f>1265.98+845.17</f>
        <v>2111.15</v>
      </c>
      <c r="R13" s="14">
        <f>122.85+3</f>
        <v>125.85</v>
      </c>
      <c r="S13" s="93">
        <f t="shared" si="0"/>
        <v>2597.19</v>
      </c>
      <c r="T13" s="15"/>
      <c r="U13" s="15"/>
      <c r="V13" s="15"/>
      <c r="W13" s="15"/>
    </row>
    <row r="14" spans="2:37" s="16" customFormat="1" ht="22.5">
      <c r="B14" s="94">
        <v>10</v>
      </c>
      <c r="C14" s="189" t="s">
        <v>52</v>
      </c>
      <c r="D14" s="18" t="s">
        <v>69</v>
      </c>
      <c r="E14" s="230" t="s">
        <v>493</v>
      </c>
      <c r="F14" s="229" t="s">
        <v>126</v>
      </c>
      <c r="G14" s="187" t="s">
        <v>127</v>
      </c>
      <c r="H14" s="164" t="str">
        <f t="shared" si="1"/>
        <v>CONVÊNIO HCPA/FMSRGS-AGHUSE - BNDES - VISTA HOSPITAL UNIVERSITÁRIO JUIZ DE FORA.</v>
      </c>
      <c r="I14" s="9" t="s">
        <v>68</v>
      </c>
      <c r="J14" s="17">
        <v>43497</v>
      </c>
      <c r="K14" s="10">
        <v>3</v>
      </c>
      <c r="L14" s="11">
        <v>4</v>
      </c>
      <c r="M14" s="57">
        <v>167.01</v>
      </c>
      <c r="N14" s="57">
        <v>71.64</v>
      </c>
      <c r="O14" s="57"/>
      <c r="P14" s="54">
        <v>0</v>
      </c>
      <c r="Q14" s="13">
        <f>1265.98+845.17</f>
        <v>2111.15</v>
      </c>
      <c r="R14" s="14">
        <f>122.85+4</f>
        <v>126.85</v>
      </c>
      <c r="S14" s="93">
        <f t="shared" si="0"/>
        <v>2476.65</v>
      </c>
      <c r="T14" s="15"/>
      <c r="U14" s="15"/>
      <c r="V14" s="15"/>
      <c r="W14" s="15"/>
    </row>
    <row r="15" spans="2:37" s="16" customFormat="1" ht="33.75">
      <c r="B15" s="94">
        <v>11</v>
      </c>
      <c r="C15" s="189" t="s">
        <v>53</v>
      </c>
      <c r="D15" s="18" t="s">
        <v>70</v>
      </c>
      <c r="E15" s="230" t="s">
        <v>484</v>
      </c>
      <c r="F15" s="167" t="s">
        <v>128</v>
      </c>
      <c r="G15" s="179" t="s">
        <v>129</v>
      </c>
      <c r="H15" s="164" t="str">
        <f t="shared" si="1"/>
        <v>APRESENTAÇÃO AOS SUPERINTENDENTES DOS HUFS, DA NOVA DIRETORIA EXECUTIVA DA EBSERH.</v>
      </c>
      <c r="I15" s="9" t="s">
        <v>65</v>
      </c>
      <c r="J15" s="17">
        <v>43466</v>
      </c>
      <c r="K15" s="10">
        <v>30</v>
      </c>
      <c r="L15" s="11">
        <v>30</v>
      </c>
      <c r="M15" s="57">
        <v>0</v>
      </c>
      <c r="N15" s="57">
        <v>0</v>
      </c>
      <c r="O15" s="57"/>
      <c r="P15" s="54">
        <v>0</v>
      </c>
      <c r="Q15" s="13">
        <f>1694.37+60</f>
        <v>1754.37</v>
      </c>
      <c r="R15" s="14">
        <v>500</v>
      </c>
      <c r="S15" s="93">
        <f t="shared" si="0"/>
        <v>2254.37</v>
      </c>
      <c r="T15" s="15"/>
      <c r="U15" s="15"/>
      <c r="V15" s="15"/>
      <c r="W15" s="15"/>
    </row>
    <row r="16" spans="2:37" s="16" customFormat="1" ht="22.5">
      <c r="B16" s="94">
        <v>12</v>
      </c>
      <c r="C16" s="189" t="s">
        <v>54</v>
      </c>
      <c r="D16" s="18" t="s">
        <v>70</v>
      </c>
      <c r="E16" s="230" t="s">
        <v>484</v>
      </c>
      <c r="F16" s="228" t="s">
        <v>128</v>
      </c>
      <c r="G16" s="179" t="s">
        <v>130</v>
      </c>
      <c r="H16" s="164" t="str">
        <f t="shared" si="1"/>
        <v>PARTICIPAR DA SOLENIDADE DE INICIO DA NOVA GESTÃO DA EBSERH.</v>
      </c>
      <c r="I16" s="9" t="s">
        <v>65</v>
      </c>
      <c r="J16" s="17">
        <v>43466</v>
      </c>
      <c r="K16" s="10">
        <v>31</v>
      </c>
      <c r="L16" s="11">
        <v>31</v>
      </c>
      <c r="M16" s="57">
        <v>0</v>
      </c>
      <c r="N16" s="57">
        <v>0</v>
      </c>
      <c r="O16" s="57"/>
      <c r="P16" s="54">
        <v>0</v>
      </c>
      <c r="Q16" s="13">
        <f>2272.37+90</f>
        <v>2362.37</v>
      </c>
      <c r="R16" s="14">
        <v>500</v>
      </c>
      <c r="S16" s="93">
        <f t="shared" si="0"/>
        <v>2862.37</v>
      </c>
      <c r="T16" s="15"/>
      <c r="U16" s="15"/>
      <c r="V16" s="15"/>
      <c r="W16" s="15"/>
    </row>
    <row r="17" spans="2:23" s="16" customFormat="1" ht="34.5" thickBot="1">
      <c r="B17" s="95">
        <v>13</v>
      </c>
      <c r="C17" s="191" t="s">
        <v>55</v>
      </c>
      <c r="D17" s="97" t="s">
        <v>71</v>
      </c>
      <c r="E17" s="233" t="s">
        <v>485</v>
      </c>
      <c r="F17" s="234" t="s">
        <v>131</v>
      </c>
      <c r="G17" s="235" t="s">
        <v>132</v>
      </c>
      <c r="H17" s="204" t="str">
        <f t="shared" si="1"/>
        <v>MINISTRAR TREINAMENTO - PROJETO AGHUSE - SESAB - MÓDULO INTERN. ADM. E EMERGÊNCIA ADM.</v>
      </c>
      <c r="I17" s="98" t="s">
        <v>72</v>
      </c>
      <c r="J17" s="99">
        <v>43497</v>
      </c>
      <c r="K17" s="100">
        <v>10</v>
      </c>
      <c r="L17" s="101">
        <v>15</v>
      </c>
      <c r="M17" s="125">
        <v>185.26</v>
      </c>
      <c r="N17" s="125">
        <v>473.9</v>
      </c>
      <c r="O17" s="125"/>
      <c r="P17" s="102">
        <v>0</v>
      </c>
      <c r="Q17" s="103">
        <v>1949.96</v>
      </c>
      <c r="R17" s="104">
        <f>1333.51+12</f>
        <v>1345.51</v>
      </c>
      <c r="S17" s="105">
        <f t="shared" si="0"/>
        <v>3954.63</v>
      </c>
      <c r="T17" s="15"/>
      <c r="U17" s="15"/>
      <c r="V17" s="15"/>
      <c r="W17" s="15"/>
    </row>
    <row r="18" spans="2:23" s="15" customFormat="1" ht="12.75" thickBot="1">
      <c r="B18" s="19"/>
      <c r="C18" s="20"/>
      <c r="D18" s="21"/>
      <c r="E18" s="21"/>
      <c r="F18" s="21"/>
      <c r="G18" s="21"/>
      <c r="H18" s="21"/>
      <c r="I18" s="21"/>
      <c r="J18" s="22"/>
      <c r="K18" s="23"/>
      <c r="L18" s="24"/>
      <c r="M18" s="25"/>
      <c r="N18" s="25"/>
      <c r="O18" s="25"/>
      <c r="P18" s="26"/>
      <c r="Q18" s="27"/>
      <c r="R18" s="28"/>
      <c r="S18" s="29"/>
    </row>
    <row r="19" spans="2:23" s="30" customFormat="1" ht="16.5" thickBot="1">
      <c r="B19" s="284" t="s">
        <v>31</v>
      </c>
      <c r="C19" s="31"/>
      <c r="D19" s="147" t="s">
        <v>41</v>
      </c>
      <c r="E19" s="184"/>
      <c r="F19" s="31"/>
      <c r="G19" s="31"/>
      <c r="H19" s="31"/>
      <c r="I19" s="33"/>
      <c r="J19" s="31"/>
      <c r="K19" s="19"/>
      <c r="L19" s="32"/>
      <c r="M19" s="34">
        <f t="shared" ref="M19:R19" si="2">SUM(M5:M17)</f>
        <v>552.27</v>
      </c>
      <c r="N19" s="34">
        <f t="shared" si="2"/>
        <v>1223.47</v>
      </c>
      <c r="O19" s="34">
        <f t="shared" si="2"/>
        <v>0</v>
      </c>
      <c r="P19" s="88">
        <f t="shared" si="2"/>
        <v>571.66999999999996</v>
      </c>
      <c r="Q19" s="37">
        <f t="shared" si="2"/>
        <v>23869.034999999993</v>
      </c>
      <c r="R19" s="38">
        <f t="shared" si="2"/>
        <v>6082.82</v>
      </c>
      <c r="S19" s="36">
        <f>SUM(S5:S17)+P20</f>
        <v>32304.9817</v>
      </c>
    </row>
    <row r="20" spans="2:23" s="39" customFormat="1" ht="16.5" thickBot="1">
      <c r="C20" s="40"/>
      <c r="D20" s="358"/>
      <c r="E20" s="358"/>
      <c r="F20" s="358"/>
      <c r="G20" s="358"/>
      <c r="H20" s="358"/>
      <c r="I20" s="358"/>
      <c r="J20" s="358"/>
      <c r="K20" s="358"/>
      <c r="L20" s="41"/>
      <c r="M20" s="42"/>
      <c r="N20" s="87"/>
      <c r="O20" s="87" t="s">
        <v>31</v>
      </c>
      <c r="P20" s="26">
        <f>P19*1%</f>
        <v>5.7166999999999994</v>
      </c>
      <c r="S20" s="43"/>
    </row>
    <row r="21" spans="2:23" s="39" customFormat="1" ht="16.5" thickBot="1">
      <c r="C21" s="40"/>
      <c r="D21" s="40"/>
      <c r="E21" s="40"/>
      <c r="F21" s="40"/>
      <c r="G21" s="40"/>
      <c r="H21" s="40"/>
      <c r="I21" s="44"/>
      <c r="J21" s="40"/>
      <c r="K21" s="40"/>
      <c r="L21" s="41"/>
      <c r="M21" s="42"/>
      <c r="N21" s="42"/>
      <c r="O21" s="42"/>
      <c r="P21" s="89">
        <f>P19+P20</f>
        <v>577.38669999999991</v>
      </c>
      <c r="Q21" s="45"/>
      <c r="R21" s="43"/>
      <c r="S21" s="46" t="s">
        <v>8</v>
      </c>
    </row>
    <row r="22" spans="2:23" s="39" customFormat="1">
      <c r="C22" s="40"/>
      <c r="D22" s="359"/>
      <c r="E22" s="359"/>
      <c r="F22" s="359"/>
      <c r="G22" s="359"/>
      <c r="H22" s="359"/>
      <c r="I22" s="359"/>
      <c r="J22" s="359"/>
      <c r="K22" s="359"/>
      <c r="L22" s="41"/>
      <c r="M22" s="42"/>
      <c r="N22" s="42"/>
      <c r="O22" s="42"/>
      <c r="P22" s="26"/>
      <c r="Q22" s="5" t="s">
        <v>7</v>
      </c>
      <c r="R22" s="138">
        <f>M19+N19+O19+P21+Q19+R19</f>
        <v>32304.981699999993</v>
      </c>
      <c r="S22" s="47">
        <f>S19-R22</f>
        <v>0</v>
      </c>
    </row>
    <row r="23" spans="2:23" ht="15.75">
      <c r="C23" s="48"/>
      <c r="D23" s="49"/>
      <c r="E23" s="49"/>
      <c r="F23" s="49"/>
      <c r="G23" s="49"/>
      <c r="H23" s="49"/>
      <c r="I23" s="50"/>
      <c r="J23" s="51"/>
      <c r="K23" s="51"/>
      <c r="L23" s="51"/>
      <c r="N23" s="87"/>
      <c r="O23" s="87" t="s">
        <v>31</v>
      </c>
      <c r="P23" s="26" t="s">
        <v>32</v>
      </c>
    </row>
    <row r="24" spans="2:23">
      <c r="C24" s="48"/>
      <c r="D24" s="49"/>
      <c r="E24" s="49"/>
      <c r="F24" s="49"/>
      <c r="G24" s="49"/>
      <c r="H24" s="49"/>
      <c r="I24" s="50"/>
      <c r="J24" s="51"/>
      <c r="K24" s="51"/>
      <c r="L24" s="51"/>
      <c r="P24" s="26"/>
    </row>
    <row r="25" spans="2:23">
      <c r="C25" s="48"/>
      <c r="D25" s="49"/>
      <c r="E25" s="49"/>
      <c r="F25" s="49"/>
      <c r="G25" s="49"/>
      <c r="H25" s="49"/>
      <c r="I25" s="50"/>
      <c r="J25" s="51"/>
      <c r="K25" s="51"/>
      <c r="L25" s="51"/>
      <c r="P25" s="26"/>
    </row>
    <row r="26" spans="2:23">
      <c r="C26" s="48"/>
      <c r="D26" s="49"/>
      <c r="E26" s="49"/>
      <c r="F26" s="49"/>
      <c r="G26" s="49"/>
      <c r="H26" s="49"/>
      <c r="I26" s="50"/>
      <c r="J26" s="51"/>
      <c r="K26" s="51"/>
      <c r="L26" s="51"/>
      <c r="P26" s="26"/>
    </row>
    <row r="27" spans="2:23">
      <c r="C27" s="48"/>
      <c r="D27" s="49"/>
      <c r="E27" s="49"/>
      <c r="F27" s="49"/>
      <c r="G27" s="49"/>
      <c r="H27" s="49"/>
      <c r="I27" s="50"/>
      <c r="J27" s="51"/>
      <c r="K27" s="51"/>
      <c r="L27" s="51"/>
      <c r="P27" s="26"/>
    </row>
    <row r="28" spans="2:23">
      <c r="C28" s="48"/>
      <c r="D28" s="49"/>
      <c r="E28" s="49"/>
      <c r="F28" s="49"/>
      <c r="G28" s="49"/>
      <c r="H28" s="49"/>
      <c r="I28" s="50"/>
      <c r="J28" s="51"/>
      <c r="K28" s="51"/>
      <c r="L28" s="51"/>
      <c r="P28" s="26"/>
    </row>
    <row r="29" spans="2:23">
      <c r="C29" s="48"/>
      <c r="D29" s="49"/>
      <c r="E29" s="49"/>
      <c r="F29" s="49"/>
      <c r="G29" s="49"/>
      <c r="H29" s="49"/>
      <c r="I29" s="50"/>
      <c r="J29" s="51"/>
      <c r="K29" s="51"/>
      <c r="L29" s="51"/>
      <c r="P29" s="26"/>
    </row>
    <row r="30" spans="2:23">
      <c r="C30" s="48"/>
      <c r="D30" s="49"/>
      <c r="E30" s="49"/>
      <c r="F30" s="49"/>
      <c r="G30" s="49"/>
      <c r="H30" s="49"/>
      <c r="I30" s="50"/>
      <c r="J30" s="51"/>
      <c r="K30" s="51"/>
      <c r="L30" s="51"/>
      <c r="P30" s="26"/>
    </row>
    <row r="31" spans="2:23">
      <c r="C31" s="48"/>
      <c r="I31" s="50"/>
      <c r="J31" s="51"/>
      <c r="K31" s="51"/>
      <c r="L31" s="51"/>
      <c r="P31" s="26"/>
    </row>
    <row r="32" spans="2:23">
      <c r="C32" s="48"/>
      <c r="D32" s="49"/>
      <c r="E32" s="49"/>
      <c r="F32" s="49"/>
      <c r="G32" s="49"/>
      <c r="H32" s="49"/>
      <c r="I32" s="50"/>
      <c r="J32" s="51"/>
      <c r="K32" s="51"/>
      <c r="L32" s="51"/>
      <c r="P32" s="26"/>
    </row>
    <row r="33" spans="3:16">
      <c r="C33" s="48"/>
      <c r="D33" s="49"/>
      <c r="E33" s="49"/>
      <c r="F33" s="49"/>
      <c r="G33" s="49"/>
      <c r="H33" s="49"/>
      <c r="I33" s="50"/>
      <c r="J33" s="51"/>
      <c r="K33" s="51"/>
      <c r="L33" s="51"/>
      <c r="P33" s="52"/>
    </row>
    <row r="34" spans="3:16" ht="15.75">
      <c r="C34" s="48"/>
      <c r="D34" s="49"/>
      <c r="E34" s="49"/>
      <c r="F34" s="49"/>
      <c r="G34" s="49"/>
      <c r="H34" s="49"/>
      <c r="I34" s="50"/>
      <c r="J34" s="51"/>
      <c r="K34" s="51"/>
      <c r="L34" s="51"/>
      <c r="P34" s="39"/>
    </row>
    <row r="35" spans="3:16" ht="15.75">
      <c r="C35" s="48"/>
      <c r="D35" s="49"/>
      <c r="E35" s="49"/>
      <c r="F35" s="49"/>
      <c r="G35" s="49"/>
      <c r="H35" s="49"/>
      <c r="I35" s="50"/>
      <c r="J35" s="51"/>
      <c r="K35" s="51"/>
      <c r="L35" s="51"/>
      <c r="P35" s="39"/>
    </row>
    <row r="36" spans="3:16" ht="15.75">
      <c r="C36" s="48"/>
      <c r="D36" s="49"/>
      <c r="E36" s="49"/>
      <c r="F36" s="49"/>
      <c r="G36" s="49"/>
      <c r="H36" s="49"/>
      <c r="I36" s="50"/>
      <c r="J36" s="51"/>
      <c r="K36" s="51"/>
      <c r="L36" s="51"/>
      <c r="P36" s="39"/>
    </row>
    <row r="37" spans="3:16">
      <c r="C37" s="48"/>
      <c r="D37" s="49"/>
      <c r="E37" s="49"/>
      <c r="F37" s="49"/>
      <c r="G37" s="49"/>
      <c r="H37" s="49"/>
      <c r="I37" s="50"/>
      <c r="J37" s="51"/>
      <c r="K37" s="51"/>
      <c r="L37" s="51"/>
    </row>
    <row r="38" spans="3:16">
      <c r="C38" s="48"/>
      <c r="D38" s="49"/>
      <c r="E38" s="49"/>
      <c r="F38" s="49"/>
      <c r="G38" s="49"/>
      <c r="H38" s="49"/>
      <c r="I38" s="50"/>
      <c r="J38" s="51"/>
      <c r="K38" s="51"/>
      <c r="L38" s="51"/>
    </row>
    <row r="39" spans="3:16">
      <c r="C39" s="48"/>
      <c r="D39" s="49"/>
      <c r="E39" s="49"/>
      <c r="F39" s="49"/>
      <c r="G39" s="49"/>
      <c r="H39" s="49"/>
      <c r="I39" s="50"/>
      <c r="J39" s="51"/>
      <c r="K39" s="51"/>
      <c r="L39" s="51"/>
    </row>
    <row r="40" spans="3:16">
      <c r="C40" s="48"/>
      <c r="D40" s="49"/>
      <c r="E40" s="49"/>
      <c r="F40" s="49"/>
      <c r="G40" s="49"/>
      <c r="H40" s="49"/>
      <c r="I40" s="50"/>
      <c r="J40" s="51"/>
      <c r="K40" s="51"/>
      <c r="L40" s="51"/>
    </row>
    <row r="41" spans="3:16">
      <c r="C41" s="48"/>
      <c r="D41" s="49"/>
      <c r="E41" s="49"/>
      <c r="F41" s="49"/>
      <c r="G41" s="49"/>
      <c r="H41" s="49"/>
      <c r="I41" s="50"/>
      <c r="J41" s="51"/>
      <c r="K41" s="51"/>
      <c r="L41" s="51"/>
    </row>
    <row r="42" spans="3:16">
      <c r="C42" s="48"/>
      <c r="D42" s="49"/>
      <c r="E42" s="49"/>
      <c r="F42" s="49"/>
      <c r="G42" s="49"/>
      <c r="H42" s="49"/>
      <c r="I42" s="50"/>
      <c r="J42" s="51"/>
      <c r="K42" s="51"/>
      <c r="L42" s="51"/>
    </row>
    <row r="43" spans="3:16">
      <c r="C43" s="48"/>
      <c r="D43" s="49"/>
      <c r="E43" s="49"/>
      <c r="F43" s="49"/>
      <c r="G43" s="49"/>
      <c r="H43" s="49"/>
      <c r="I43" s="50"/>
      <c r="J43" s="51"/>
      <c r="K43" s="51"/>
      <c r="L43" s="51"/>
    </row>
    <row r="44" spans="3:16">
      <c r="C44" s="48"/>
      <c r="D44" s="49"/>
      <c r="E44" s="49"/>
      <c r="F44" s="49"/>
      <c r="G44" s="49"/>
      <c r="H44" s="49"/>
      <c r="I44" s="50"/>
      <c r="J44" s="51"/>
      <c r="K44" s="51"/>
      <c r="L44" s="51"/>
    </row>
    <row r="45" spans="3:16">
      <c r="C45" s="48"/>
      <c r="D45" s="49"/>
      <c r="E45" s="49"/>
      <c r="F45" s="49"/>
      <c r="G45" s="49"/>
      <c r="H45" s="49"/>
      <c r="I45" s="50"/>
      <c r="J45" s="51"/>
      <c r="K45" s="51"/>
      <c r="L45" s="51"/>
    </row>
    <row r="46" spans="3:16">
      <c r="C46" s="48"/>
      <c r="D46" s="49"/>
      <c r="E46" s="49"/>
      <c r="F46" s="49"/>
      <c r="G46" s="49"/>
      <c r="H46" s="49"/>
      <c r="I46" s="50"/>
      <c r="J46" s="51"/>
      <c r="K46" s="51"/>
      <c r="L46" s="51"/>
    </row>
    <row r="47" spans="3:16">
      <c r="C47" s="48"/>
      <c r="D47" s="49"/>
      <c r="E47" s="49"/>
      <c r="F47" s="49"/>
      <c r="G47" s="49"/>
      <c r="H47" s="49"/>
      <c r="I47" s="50"/>
      <c r="J47" s="51"/>
      <c r="K47" s="51"/>
      <c r="L47" s="51"/>
    </row>
    <row r="48" spans="3:16">
      <c r="C48" s="48"/>
      <c r="D48" s="49"/>
      <c r="E48" s="49"/>
      <c r="F48" s="49"/>
      <c r="G48" s="49"/>
      <c r="H48" s="49"/>
      <c r="I48" s="50"/>
      <c r="J48" s="51"/>
      <c r="K48" s="51"/>
      <c r="L48" s="51"/>
    </row>
    <row r="49" spans="3:12">
      <c r="C49" s="48"/>
      <c r="D49" s="49"/>
      <c r="E49" s="49"/>
      <c r="F49" s="49"/>
      <c r="G49" s="49"/>
      <c r="H49" s="49"/>
      <c r="I49" s="50"/>
      <c r="J49" s="51"/>
      <c r="K49" s="51"/>
      <c r="L49" s="51"/>
    </row>
    <row r="50" spans="3:12">
      <c r="C50" s="48"/>
      <c r="D50" s="49"/>
      <c r="E50" s="49"/>
      <c r="F50" s="49"/>
      <c r="G50" s="49"/>
      <c r="H50" s="49"/>
      <c r="I50" s="50"/>
      <c r="J50" s="51"/>
      <c r="K50" s="51"/>
      <c r="L50" s="51"/>
    </row>
    <row r="51" spans="3:12">
      <c r="C51" s="48"/>
      <c r="D51" s="49"/>
      <c r="E51" s="49"/>
      <c r="F51" s="49"/>
      <c r="G51" s="49"/>
      <c r="H51" s="49"/>
      <c r="I51" s="50"/>
      <c r="J51" s="51"/>
      <c r="K51" s="51"/>
      <c r="L51" s="51"/>
    </row>
    <row r="52" spans="3:12">
      <c r="C52" s="48"/>
      <c r="D52" s="49"/>
      <c r="E52" s="49"/>
      <c r="F52" s="49"/>
      <c r="G52" s="49"/>
      <c r="H52" s="49"/>
      <c r="I52" s="50"/>
      <c r="J52" s="51"/>
      <c r="K52" s="51"/>
      <c r="L52" s="51"/>
    </row>
    <row r="53" spans="3:12">
      <c r="C53" s="48"/>
      <c r="D53" s="49"/>
      <c r="E53" s="49"/>
      <c r="F53" s="49"/>
      <c r="G53" s="49"/>
      <c r="H53" s="49"/>
      <c r="I53" s="50"/>
      <c r="J53" s="51"/>
      <c r="K53" s="51"/>
      <c r="L53" s="51"/>
    </row>
    <row r="54" spans="3:12">
      <c r="C54" s="48"/>
      <c r="D54" s="49"/>
      <c r="E54" s="49"/>
      <c r="F54" s="49"/>
      <c r="G54" s="49"/>
      <c r="H54" s="49"/>
      <c r="I54" s="50"/>
      <c r="J54" s="51"/>
      <c r="K54" s="51"/>
      <c r="L54" s="51"/>
    </row>
    <row r="55" spans="3:12">
      <c r="C55" s="48"/>
      <c r="D55" s="49"/>
      <c r="E55" s="49"/>
      <c r="F55" s="49"/>
      <c r="G55" s="49"/>
      <c r="H55" s="49"/>
      <c r="I55" s="50"/>
      <c r="J55" s="51"/>
      <c r="K55" s="51"/>
      <c r="L55" s="51"/>
    </row>
    <row r="56" spans="3:12">
      <c r="C56" s="48"/>
      <c r="D56" s="49"/>
      <c r="E56" s="49"/>
      <c r="F56" s="49"/>
      <c r="G56" s="49"/>
      <c r="H56" s="49"/>
      <c r="I56" s="50"/>
      <c r="J56" s="51"/>
      <c r="K56" s="51"/>
      <c r="L56" s="51"/>
    </row>
    <row r="57" spans="3:12">
      <c r="C57" s="48"/>
      <c r="D57" s="49"/>
      <c r="E57" s="49"/>
      <c r="F57" s="49"/>
      <c r="G57" s="49"/>
      <c r="H57" s="49"/>
      <c r="I57" s="50"/>
      <c r="J57" s="51"/>
      <c r="K57" s="51"/>
      <c r="L57" s="51"/>
    </row>
    <row r="58" spans="3:12">
      <c r="C58" s="48"/>
      <c r="D58" s="49"/>
      <c r="E58" s="49"/>
      <c r="F58" s="49"/>
      <c r="G58" s="49"/>
      <c r="H58" s="49"/>
      <c r="I58" s="50"/>
      <c r="J58" s="51"/>
      <c r="K58" s="51"/>
      <c r="L58" s="51"/>
    </row>
    <row r="59" spans="3:12">
      <c r="C59" s="48"/>
      <c r="D59" s="49"/>
      <c r="E59" s="49"/>
      <c r="F59" s="49"/>
      <c r="G59" s="49"/>
      <c r="H59" s="49"/>
      <c r="I59" s="50"/>
      <c r="J59" s="51"/>
      <c r="K59" s="51"/>
      <c r="L59" s="51"/>
    </row>
    <row r="60" spans="3:12">
      <c r="C60" s="48"/>
      <c r="D60" s="49"/>
      <c r="E60" s="49"/>
      <c r="F60" s="49"/>
      <c r="G60" s="49"/>
      <c r="H60" s="49"/>
      <c r="I60" s="50"/>
      <c r="J60" s="51"/>
      <c r="K60" s="51"/>
      <c r="L60" s="51"/>
    </row>
    <row r="61" spans="3:12">
      <c r="C61" s="48"/>
      <c r="D61" s="49"/>
      <c r="E61" s="49"/>
      <c r="F61" s="49"/>
      <c r="G61" s="49"/>
      <c r="H61" s="49"/>
      <c r="I61" s="50"/>
      <c r="J61" s="51"/>
      <c r="K61" s="51"/>
      <c r="L61" s="51"/>
    </row>
    <row r="62" spans="3:12">
      <c r="C62" s="48"/>
      <c r="D62" s="49"/>
      <c r="E62" s="49"/>
      <c r="F62" s="49"/>
      <c r="G62" s="49"/>
      <c r="H62" s="49"/>
      <c r="I62" s="50"/>
      <c r="J62" s="51"/>
      <c r="K62" s="51"/>
      <c r="L62" s="51"/>
    </row>
    <row r="63" spans="3:12">
      <c r="C63" s="48"/>
      <c r="D63" s="49"/>
      <c r="E63" s="49"/>
      <c r="F63" s="49"/>
      <c r="G63" s="49"/>
      <c r="H63" s="49"/>
      <c r="I63" s="50"/>
      <c r="J63" s="51"/>
      <c r="K63" s="51"/>
      <c r="L63" s="51"/>
    </row>
    <row r="64" spans="3:12">
      <c r="C64" s="48"/>
      <c r="D64" s="49"/>
      <c r="E64" s="49"/>
      <c r="F64" s="49"/>
      <c r="G64" s="49"/>
      <c r="H64" s="49"/>
      <c r="I64" s="50"/>
      <c r="J64" s="51"/>
      <c r="K64" s="51"/>
      <c r="L64" s="51"/>
    </row>
    <row r="65" spans="3:12">
      <c r="C65" s="48"/>
      <c r="D65" s="49"/>
      <c r="E65" s="49"/>
      <c r="F65" s="49"/>
      <c r="G65" s="49"/>
      <c r="H65" s="49"/>
      <c r="I65" s="50"/>
      <c r="J65" s="51"/>
      <c r="K65" s="51"/>
      <c r="L65" s="51"/>
    </row>
    <row r="66" spans="3:12">
      <c r="C66" s="48"/>
      <c r="D66" s="49"/>
      <c r="E66" s="49"/>
      <c r="F66" s="49"/>
      <c r="G66" s="49"/>
      <c r="H66" s="49"/>
      <c r="I66" s="50"/>
      <c r="J66" s="51"/>
      <c r="K66" s="51"/>
      <c r="L66" s="51"/>
    </row>
    <row r="67" spans="3:12">
      <c r="C67" s="48"/>
      <c r="D67" s="49"/>
      <c r="E67" s="49"/>
      <c r="F67" s="49"/>
      <c r="G67" s="49"/>
      <c r="H67" s="49"/>
      <c r="I67" s="50"/>
      <c r="J67" s="51"/>
      <c r="K67" s="51"/>
      <c r="L67" s="51"/>
    </row>
    <row r="68" spans="3:12">
      <c r="C68" s="48"/>
      <c r="D68" s="49"/>
      <c r="E68" s="49"/>
      <c r="F68" s="49"/>
      <c r="G68" s="49"/>
      <c r="H68" s="49"/>
      <c r="I68" s="50"/>
      <c r="J68" s="51"/>
      <c r="K68" s="51"/>
      <c r="L68" s="51"/>
    </row>
    <row r="69" spans="3:12">
      <c r="C69" s="48"/>
      <c r="D69" s="49"/>
      <c r="E69" s="49"/>
      <c r="F69" s="49"/>
      <c r="G69" s="49"/>
      <c r="H69" s="49"/>
      <c r="I69" s="50"/>
      <c r="J69" s="51"/>
      <c r="K69" s="51"/>
      <c r="L69" s="51"/>
    </row>
    <row r="70" spans="3:12">
      <c r="C70" s="48"/>
      <c r="D70" s="49"/>
      <c r="E70" s="49"/>
      <c r="F70" s="49"/>
      <c r="G70" s="49"/>
      <c r="H70" s="49"/>
      <c r="I70" s="50"/>
      <c r="J70" s="51"/>
      <c r="K70" s="51"/>
      <c r="L70" s="51"/>
    </row>
    <row r="71" spans="3:12">
      <c r="C71" s="48"/>
      <c r="D71" s="49"/>
      <c r="E71" s="49"/>
      <c r="F71" s="49"/>
      <c r="G71" s="49"/>
      <c r="H71" s="49"/>
      <c r="I71" s="50"/>
      <c r="J71" s="51"/>
      <c r="K71" s="51"/>
      <c r="L71" s="51"/>
    </row>
    <row r="72" spans="3:12">
      <c r="C72" s="48"/>
      <c r="D72" s="49"/>
      <c r="E72" s="49"/>
      <c r="F72" s="49"/>
      <c r="G72" s="49"/>
      <c r="H72" s="49"/>
      <c r="I72" s="50"/>
      <c r="J72" s="51"/>
      <c r="K72" s="51"/>
      <c r="L72" s="51"/>
    </row>
    <row r="73" spans="3:12">
      <c r="C73" s="48"/>
      <c r="D73" s="49"/>
      <c r="E73" s="49"/>
      <c r="F73" s="49"/>
      <c r="G73" s="49"/>
      <c r="H73" s="49"/>
      <c r="I73" s="50"/>
      <c r="J73" s="51"/>
      <c r="K73" s="51"/>
      <c r="L73" s="51"/>
    </row>
    <row r="74" spans="3:12">
      <c r="C74" s="48"/>
      <c r="D74" s="49"/>
      <c r="E74" s="49"/>
      <c r="F74" s="49"/>
      <c r="G74" s="49"/>
      <c r="H74" s="49"/>
      <c r="I74" s="50"/>
      <c r="J74" s="51"/>
      <c r="K74" s="51"/>
      <c r="L74" s="51"/>
    </row>
    <row r="75" spans="3:12">
      <c r="C75" s="48"/>
      <c r="D75" s="49"/>
      <c r="E75" s="49"/>
      <c r="F75" s="49"/>
      <c r="G75" s="49"/>
      <c r="H75" s="49"/>
      <c r="I75" s="50"/>
      <c r="J75" s="51"/>
      <c r="K75" s="51"/>
      <c r="L75" s="51"/>
    </row>
    <row r="76" spans="3:12">
      <c r="C76" s="48"/>
      <c r="D76" s="49"/>
      <c r="E76" s="49"/>
      <c r="F76" s="49"/>
      <c r="G76" s="49"/>
      <c r="H76" s="49"/>
      <c r="I76" s="50"/>
      <c r="J76" s="51"/>
      <c r="K76" s="51"/>
      <c r="L76" s="51"/>
    </row>
    <row r="77" spans="3:12">
      <c r="C77" s="48"/>
      <c r="D77" s="49"/>
      <c r="E77" s="49"/>
      <c r="F77" s="49"/>
      <c r="G77" s="49"/>
      <c r="H77" s="49"/>
      <c r="I77" s="50"/>
      <c r="J77" s="51"/>
      <c r="K77" s="51"/>
      <c r="L77" s="51"/>
    </row>
    <row r="78" spans="3:12">
      <c r="C78" s="48"/>
      <c r="D78" s="49"/>
      <c r="E78" s="49"/>
      <c r="F78" s="49"/>
      <c r="G78" s="49"/>
      <c r="H78" s="49"/>
      <c r="I78" s="50"/>
      <c r="J78" s="51"/>
      <c r="K78" s="51"/>
      <c r="L78" s="51"/>
    </row>
    <row r="79" spans="3:12">
      <c r="C79" s="48"/>
      <c r="D79" s="49"/>
      <c r="E79" s="49"/>
      <c r="F79" s="49"/>
      <c r="G79" s="49"/>
      <c r="H79" s="49"/>
      <c r="I79" s="50"/>
      <c r="J79" s="51"/>
      <c r="K79" s="51"/>
      <c r="L79" s="51"/>
    </row>
    <row r="80" spans="3:12">
      <c r="C80" s="48"/>
      <c r="D80" s="49"/>
      <c r="E80" s="49"/>
      <c r="F80" s="49"/>
      <c r="G80" s="49"/>
      <c r="H80" s="49"/>
      <c r="I80" s="50"/>
      <c r="J80" s="51"/>
      <c r="K80" s="51"/>
      <c r="L80" s="51"/>
    </row>
    <row r="81" spans="3:12">
      <c r="C81" s="48"/>
      <c r="D81" s="49"/>
      <c r="E81" s="49"/>
      <c r="F81" s="49"/>
      <c r="G81" s="49"/>
      <c r="H81" s="49"/>
      <c r="I81" s="50"/>
      <c r="J81" s="51"/>
      <c r="K81" s="51"/>
      <c r="L81" s="51"/>
    </row>
    <row r="82" spans="3:12">
      <c r="C82" s="48"/>
      <c r="D82" s="49"/>
      <c r="E82" s="49"/>
      <c r="F82" s="49"/>
      <c r="G82" s="49"/>
      <c r="H82" s="49"/>
      <c r="I82" s="50"/>
      <c r="J82" s="51"/>
      <c r="K82" s="51"/>
      <c r="L82" s="51"/>
    </row>
    <row r="83" spans="3:12">
      <c r="C83" s="48"/>
      <c r="D83" s="49"/>
      <c r="E83" s="49"/>
      <c r="F83" s="49"/>
      <c r="G83" s="49"/>
      <c r="H83" s="49"/>
      <c r="I83" s="50"/>
      <c r="J83" s="51"/>
      <c r="K83" s="51"/>
      <c r="L83" s="51"/>
    </row>
    <row r="84" spans="3:12">
      <c r="C84" s="48"/>
      <c r="D84" s="49"/>
      <c r="E84" s="49"/>
      <c r="F84" s="49"/>
      <c r="G84" s="49"/>
      <c r="H84" s="49"/>
      <c r="I84" s="50"/>
      <c r="J84" s="51"/>
      <c r="K84" s="51"/>
      <c r="L84" s="51"/>
    </row>
    <row r="85" spans="3:12">
      <c r="C85" s="48"/>
      <c r="D85" s="49"/>
      <c r="E85" s="49"/>
      <c r="F85" s="49"/>
      <c r="G85" s="49"/>
      <c r="H85" s="49"/>
      <c r="I85" s="50"/>
      <c r="J85" s="51"/>
      <c r="K85" s="51"/>
      <c r="L85" s="51"/>
    </row>
    <row r="86" spans="3:12">
      <c r="C86" s="48"/>
      <c r="D86" s="49"/>
      <c r="E86" s="49"/>
      <c r="F86" s="49"/>
      <c r="G86" s="49"/>
      <c r="H86" s="49"/>
      <c r="I86" s="50"/>
      <c r="J86" s="51"/>
      <c r="K86" s="51"/>
      <c r="L86" s="51"/>
    </row>
    <row r="87" spans="3:12">
      <c r="C87" s="48"/>
      <c r="D87" s="49"/>
      <c r="E87" s="49"/>
      <c r="F87" s="49"/>
      <c r="G87" s="49"/>
      <c r="H87" s="49"/>
      <c r="I87" s="50"/>
      <c r="J87" s="51"/>
      <c r="K87" s="51"/>
      <c r="L87" s="51"/>
    </row>
    <row r="88" spans="3:12">
      <c r="C88" s="48"/>
      <c r="D88" s="49"/>
      <c r="E88" s="49"/>
      <c r="F88" s="49"/>
      <c r="G88" s="49"/>
      <c r="H88" s="49"/>
      <c r="I88" s="50"/>
      <c r="J88" s="51"/>
      <c r="K88" s="51"/>
      <c r="L88" s="51"/>
    </row>
    <row r="89" spans="3:12">
      <c r="C89" s="48"/>
      <c r="D89" s="49"/>
      <c r="E89" s="49"/>
      <c r="F89" s="49"/>
      <c r="G89" s="49"/>
      <c r="H89" s="49"/>
      <c r="I89" s="50"/>
      <c r="J89" s="51"/>
      <c r="K89" s="51"/>
      <c r="L89" s="51"/>
    </row>
    <row r="90" spans="3:12">
      <c r="C90" s="48"/>
      <c r="D90" s="49"/>
      <c r="E90" s="49"/>
      <c r="F90" s="49"/>
      <c r="G90" s="49"/>
      <c r="H90" s="49"/>
      <c r="I90" s="50"/>
      <c r="J90" s="51"/>
      <c r="K90" s="51"/>
      <c r="L90" s="51"/>
    </row>
    <row r="91" spans="3:12">
      <c r="C91" s="48"/>
      <c r="D91" s="49"/>
      <c r="E91" s="49"/>
      <c r="F91" s="49"/>
      <c r="G91" s="49"/>
      <c r="H91" s="49"/>
      <c r="I91" s="50"/>
      <c r="J91" s="51"/>
      <c r="K91" s="51"/>
      <c r="L91" s="51"/>
    </row>
    <row r="92" spans="3:12">
      <c r="C92" s="48"/>
      <c r="D92" s="49"/>
      <c r="E92" s="49"/>
      <c r="F92" s="49"/>
      <c r="G92" s="49"/>
      <c r="H92" s="49"/>
      <c r="I92" s="50"/>
      <c r="J92" s="51"/>
      <c r="K92" s="51"/>
      <c r="L92" s="51"/>
    </row>
    <row r="93" spans="3:12">
      <c r="C93" s="48"/>
      <c r="D93" s="49"/>
      <c r="E93" s="49"/>
      <c r="F93" s="49"/>
      <c r="G93" s="49"/>
      <c r="H93" s="49"/>
      <c r="I93" s="50"/>
      <c r="J93" s="51"/>
      <c r="K93" s="51"/>
      <c r="L93" s="51"/>
    </row>
    <row r="94" spans="3:12">
      <c r="C94" s="48"/>
      <c r="D94" s="49"/>
      <c r="E94" s="49"/>
      <c r="F94" s="49"/>
      <c r="G94" s="49"/>
      <c r="H94" s="49"/>
      <c r="I94" s="50"/>
      <c r="J94" s="51"/>
      <c r="K94" s="51"/>
      <c r="L94" s="51"/>
    </row>
    <row r="95" spans="3:12">
      <c r="C95" s="48"/>
      <c r="D95" s="49"/>
      <c r="E95" s="49"/>
      <c r="F95" s="49"/>
      <c r="G95" s="49"/>
      <c r="H95" s="49"/>
      <c r="I95" s="50"/>
      <c r="J95" s="51"/>
      <c r="K95" s="51"/>
      <c r="L95" s="51"/>
    </row>
    <row r="96" spans="3:12">
      <c r="C96" s="48"/>
      <c r="D96" s="49"/>
      <c r="E96" s="49"/>
      <c r="F96" s="49"/>
      <c r="G96" s="49"/>
      <c r="H96" s="49"/>
      <c r="I96" s="50"/>
      <c r="J96" s="51"/>
      <c r="K96" s="51"/>
      <c r="L96" s="51"/>
    </row>
    <row r="97" spans="3:12">
      <c r="C97" s="48"/>
      <c r="D97" s="49"/>
      <c r="E97" s="49"/>
      <c r="F97" s="49"/>
      <c r="G97" s="49"/>
      <c r="H97" s="49"/>
      <c r="I97" s="50"/>
      <c r="J97" s="51"/>
      <c r="K97" s="51"/>
      <c r="L97" s="51"/>
    </row>
    <row r="98" spans="3:12">
      <c r="C98" s="48"/>
      <c r="D98" s="49"/>
      <c r="E98" s="49"/>
      <c r="F98" s="49"/>
      <c r="G98" s="49"/>
      <c r="H98" s="49"/>
      <c r="I98" s="50"/>
      <c r="J98" s="51"/>
      <c r="K98" s="51"/>
      <c r="L98" s="51"/>
    </row>
    <row r="99" spans="3:12">
      <c r="C99" s="48"/>
      <c r="D99" s="49"/>
      <c r="E99" s="49"/>
      <c r="F99" s="49"/>
      <c r="G99" s="49"/>
      <c r="H99" s="49"/>
      <c r="I99" s="50"/>
      <c r="J99" s="51"/>
      <c r="K99" s="51"/>
      <c r="L99" s="51"/>
    </row>
    <row r="100" spans="3:12">
      <c r="C100" s="48"/>
      <c r="D100" s="49"/>
      <c r="E100" s="49"/>
      <c r="F100" s="49"/>
      <c r="G100" s="49"/>
      <c r="H100" s="49"/>
      <c r="I100" s="50"/>
      <c r="J100" s="51"/>
      <c r="K100" s="51"/>
      <c r="L100" s="51"/>
    </row>
    <row r="101" spans="3:12">
      <c r="C101" s="48"/>
      <c r="D101" s="49"/>
      <c r="E101" s="49"/>
      <c r="F101" s="49"/>
      <c r="G101" s="49"/>
      <c r="H101" s="49"/>
      <c r="I101" s="50"/>
      <c r="J101" s="51"/>
      <c r="K101" s="51"/>
      <c r="L101" s="51"/>
    </row>
  </sheetData>
  <sheetProtection password="EFEB" sheet="1" objects="1" scenarios="1"/>
  <mergeCells count="6">
    <mergeCell ref="J4:L4"/>
    <mergeCell ref="D20:K20"/>
    <mergeCell ref="D22:K22"/>
    <mergeCell ref="B2:S2"/>
    <mergeCell ref="M3:O3"/>
    <mergeCell ref="Q3:S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B2:AK108"/>
  <sheetViews>
    <sheetView topLeftCell="A4" workbookViewId="0">
      <selection activeCell="B26" sqref="B26:E26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38.85546875" customWidth="1"/>
    <col min="9" max="9" width="25.5703125" style="2" customWidth="1"/>
    <col min="10" max="10" width="11" style="3" bestFit="1" customWidth="1"/>
    <col min="11" max="12" width="9.140625" style="3"/>
    <col min="13" max="13" width="14.42578125" style="4" customWidth="1"/>
    <col min="14" max="15" width="15.42578125" style="4" customWidth="1"/>
    <col min="16" max="16" width="13.5703125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42578125" customWidth="1"/>
    <col min="255" max="255" width="16.425781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4" width="14.42578125" customWidth="1"/>
    <col min="265" max="265" width="13.7109375" customWidth="1"/>
    <col min="266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42578125" customWidth="1"/>
    <col min="511" max="511" width="16.425781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0" width="14.42578125" customWidth="1"/>
    <col min="521" max="521" width="13.7109375" customWidth="1"/>
    <col min="522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42578125" customWidth="1"/>
    <col min="767" max="767" width="16.425781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6" width="14.42578125" customWidth="1"/>
    <col min="777" max="777" width="13.7109375" customWidth="1"/>
    <col min="778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42578125" customWidth="1"/>
    <col min="1023" max="1023" width="16.425781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2" width="14.42578125" customWidth="1"/>
    <col min="1033" max="1033" width="13.7109375" customWidth="1"/>
    <col min="1034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42578125" customWidth="1"/>
    <col min="1279" max="1279" width="16.425781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8" width="14.42578125" customWidth="1"/>
    <col min="1289" max="1289" width="13.7109375" customWidth="1"/>
    <col min="1290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42578125" customWidth="1"/>
    <col min="1535" max="1535" width="16.425781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4" width="14.42578125" customWidth="1"/>
    <col min="1545" max="1545" width="13.7109375" customWidth="1"/>
    <col min="1546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42578125" customWidth="1"/>
    <col min="1791" max="1791" width="16.425781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0" width="14.42578125" customWidth="1"/>
    <col min="1801" max="1801" width="13.7109375" customWidth="1"/>
    <col min="1802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42578125" customWidth="1"/>
    <col min="2047" max="2047" width="16.425781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6" width="14.42578125" customWidth="1"/>
    <col min="2057" max="2057" width="13.7109375" customWidth="1"/>
    <col min="2058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42578125" customWidth="1"/>
    <col min="2303" max="2303" width="16.425781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2" width="14.42578125" customWidth="1"/>
    <col min="2313" max="2313" width="13.7109375" customWidth="1"/>
    <col min="2314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42578125" customWidth="1"/>
    <col min="2559" max="2559" width="16.425781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8" width="14.42578125" customWidth="1"/>
    <col min="2569" max="2569" width="13.7109375" customWidth="1"/>
    <col min="2570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42578125" customWidth="1"/>
    <col min="2815" max="2815" width="16.425781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4" width="14.42578125" customWidth="1"/>
    <col min="2825" max="2825" width="13.7109375" customWidth="1"/>
    <col min="2826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42578125" customWidth="1"/>
    <col min="3071" max="3071" width="16.425781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0" width="14.42578125" customWidth="1"/>
    <col min="3081" max="3081" width="13.7109375" customWidth="1"/>
    <col min="3082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42578125" customWidth="1"/>
    <col min="3327" max="3327" width="16.425781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6" width="14.42578125" customWidth="1"/>
    <col min="3337" max="3337" width="13.7109375" customWidth="1"/>
    <col min="3338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42578125" customWidth="1"/>
    <col min="3583" max="3583" width="16.425781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2" width="14.42578125" customWidth="1"/>
    <col min="3593" max="3593" width="13.7109375" customWidth="1"/>
    <col min="3594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42578125" customWidth="1"/>
    <col min="3839" max="3839" width="16.425781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8" width="14.42578125" customWidth="1"/>
    <col min="3849" max="3849" width="13.7109375" customWidth="1"/>
    <col min="3850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42578125" customWidth="1"/>
    <col min="4095" max="4095" width="16.425781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4" width="14.42578125" customWidth="1"/>
    <col min="4105" max="4105" width="13.7109375" customWidth="1"/>
    <col min="4106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42578125" customWidth="1"/>
    <col min="4351" max="4351" width="16.425781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0" width="14.42578125" customWidth="1"/>
    <col min="4361" max="4361" width="13.7109375" customWidth="1"/>
    <col min="4362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42578125" customWidth="1"/>
    <col min="4607" max="4607" width="16.425781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6" width="14.42578125" customWidth="1"/>
    <col min="4617" max="4617" width="13.7109375" customWidth="1"/>
    <col min="4618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42578125" customWidth="1"/>
    <col min="4863" max="4863" width="16.425781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2" width="14.42578125" customWidth="1"/>
    <col min="4873" max="4873" width="13.7109375" customWidth="1"/>
    <col min="4874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42578125" customWidth="1"/>
    <col min="5119" max="5119" width="16.425781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8" width="14.42578125" customWidth="1"/>
    <col min="5129" max="5129" width="13.7109375" customWidth="1"/>
    <col min="5130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42578125" customWidth="1"/>
    <col min="5375" max="5375" width="16.425781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4" width="14.42578125" customWidth="1"/>
    <col min="5385" max="5385" width="13.7109375" customWidth="1"/>
    <col min="5386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42578125" customWidth="1"/>
    <col min="5631" max="5631" width="16.425781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0" width="14.42578125" customWidth="1"/>
    <col min="5641" max="5641" width="13.7109375" customWidth="1"/>
    <col min="5642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42578125" customWidth="1"/>
    <col min="5887" max="5887" width="16.425781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6" width="14.42578125" customWidth="1"/>
    <col min="5897" max="5897" width="13.7109375" customWidth="1"/>
    <col min="5898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42578125" customWidth="1"/>
    <col min="6143" max="6143" width="16.425781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2" width="14.42578125" customWidth="1"/>
    <col min="6153" max="6153" width="13.7109375" customWidth="1"/>
    <col min="6154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42578125" customWidth="1"/>
    <col min="6399" max="6399" width="16.425781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8" width="14.42578125" customWidth="1"/>
    <col min="6409" max="6409" width="13.7109375" customWidth="1"/>
    <col min="6410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42578125" customWidth="1"/>
    <col min="6655" max="6655" width="16.425781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4" width="14.42578125" customWidth="1"/>
    <col min="6665" max="6665" width="13.7109375" customWidth="1"/>
    <col min="6666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42578125" customWidth="1"/>
    <col min="6911" max="6911" width="16.425781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0" width="14.42578125" customWidth="1"/>
    <col min="6921" max="6921" width="13.7109375" customWidth="1"/>
    <col min="6922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42578125" customWidth="1"/>
    <col min="7167" max="7167" width="16.425781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6" width="14.42578125" customWidth="1"/>
    <col min="7177" max="7177" width="13.7109375" customWidth="1"/>
    <col min="7178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42578125" customWidth="1"/>
    <col min="7423" max="7423" width="16.425781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2" width="14.42578125" customWidth="1"/>
    <col min="7433" max="7433" width="13.7109375" customWidth="1"/>
    <col min="7434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42578125" customWidth="1"/>
    <col min="7679" max="7679" width="16.425781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8" width="14.42578125" customWidth="1"/>
    <col min="7689" max="7689" width="13.7109375" customWidth="1"/>
    <col min="7690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42578125" customWidth="1"/>
    <col min="7935" max="7935" width="16.425781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4" width="14.42578125" customWidth="1"/>
    <col min="7945" max="7945" width="13.7109375" customWidth="1"/>
    <col min="7946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42578125" customWidth="1"/>
    <col min="8191" max="8191" width="16.425781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0" width="14.42578125" customWidth="1"/>
    <col min="8201" max="8201" width="13.7109375" customWidth="1"/>
    <col min="8202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42578125" customWidth="1"/>
    <col min="8447" max="8447" width="16.425781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6" width="14.42578125" customWidth="1"/>
    <col min="8457" max="8457" width="13.7109375" customWidth="1"/>
    <col min="8458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42578125" customWidth="1"/>
    <col min="8703" max="8703" width="16.425781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2" width="14.42578125" customWidth="1"/>
    <col min="8713" max="8713" width="13.7109375" customWidth="1"/>
    <col min="8714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42578125" customWidth="1"/>
    <col min="8959" max="8959" width="16.425781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8" width="14.42578125" customWidth="1"/>
    <col min="8969" max="8969" width="13.7109375" customWidth="1"/>
    <col min="8970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42578125" customWidth="1"/>
    <col min="9215" max="9215" width="16.425781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4" width="14.42578125" customWidth="1"/>
    <col min="9225" max="9225" width="13.7109375" customWidth="1"/>
    <col min="9226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42578125" customWidth="1"/>
    <col min="9471" max="9471" width="16.425781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0" width="14.42578125" customWidth="1"/>
    <col min="9481" max="9481" width="13.7109375" customWidth="1"/>
    <col min="9482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42578125" customWidth="1"/>
    <col min="9727" max="9727" width="16.425781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6" width="14.42578125" customWidth="1"/>
    <col min="9737" max="9737" width="13.7109375" customWidth="1"/>
    <col min="9738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42578125" customWidth="1"/>
    <col min="9983" max="9983" width="16.425781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2" width="14.42578125" customWidth="1"/>
    <col min="9993" max="9993" width="13.7109375" customWidth="1"/>
    <col min="9994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42578125" customWidth="1"/>
    <col min="10239" max="10239" width="16.425781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8" width="14.42578125" customWidth="1"/>
    <col min="10249" max="10249" width="13.7109375" customWidth="1"/>
    <col min="10250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42578125" customWidth="1"/>
    <col min="10495" max="10495" width="16.425781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4" width="14.42578125" customWidth="1"/>
    <col min="10505" max="10505" width="13.7109375" customWidth="1"/>
    <col min="10506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42578125" customWidth="1"/>
    <col min="10751" max="10751" width="16.425781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0" width="14.42578125" customWidth="1"/>
    <col min="10761" max="10761" width="13.7109375" customWidth="1"/>
    <col min="10762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42578125" customWidth="1"/>
    <col min="11007" max="11007" width="16.425781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6" width="14.42578125" customWidth="1"/>
    <col min="11017" max="11017" width="13.7109375" customWidth="1"/>
    <col min="11018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42578125" customWidth="1"/>
    <col min="11263" max="11263" width="16.425781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2" width="14.42578125" customWidth="1"/>
    <col min="11273" max="11273" width="13.7109375" customWidth="1"/>
    <col min="11274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42578125" customWidth="1"/>
    <col min="11519" max="11519" width="16.425781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8" width="14.42578125" customWidth="1"/>
    <col min="11529" max="11529" width="13.7109375" customWidth="1"/>
    <col min="11530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42578125" customWidth="1"/>
    <col min="11775" max="11775" width="16.425781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4" width="14.42578125" customWidth="1"/>
    <col min="11785" max="11785" width="13.7109375" customWidth="1"/>
    <col min="11786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42578125" customWidth="1"/>
    <col min="12031" max="12031" width="16.425781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0" width="14.42578125" customWidth="1"/>
    <col min="12041" max="12041" width="13.7109375" customWidth="1"/>
    <col min="12042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42578125" customWidth="1"/>
    <col min="12287" max="12287" width="16.425781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6" width="14.42578125" customWidth="1"/>
    <col min="12297" max="12297" width="13.7109375" customWidth="1"/>
    <col min="12298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42578125" customWidth="1"/>
    <col min="12543" max="12543" width="16.425781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2" width="14.42578125" customWidth="1"/>
    <col min="12553" max="12553" width="13.7109375" customWidth="1"/>
    <col min="12554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42578125" customWidth="1"/>
    <col min="12799" max="12799" width="16.425781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8" width="14.42578125" customWidth="1"/>
    <col min="12809" max="12809" width="13.7109375" customWidth="1"/>
    <col min="12810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42578125" customWidth="1"/>
    <col min="13055" max="13055" width="16.425781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4" width="14.42578125" customWidth="1"/>
    <col min="13065" max="13065" width="13.7109375" customWidth="1"/>
    <col min="13066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42578125" customWidth="1"/>
    <col min="13311" max="13311" width="16.425781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0" width="14.42578125" customWidth="1"/>
    <col min="13321" max="13321" width="13.7109375" customWidth="1"/>
    <col min="13322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42578125" customWidth="1"/>
    <col min="13567" max="13567" width="16.425781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6" width="14.42578125" customWidth="1"/>
    <col min="13577" max="13577" width="13.7109375" customWidth="1"/>
    <col min="13578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42578125" customWidth="1"/>
    <col min="13823" max="13823" width="16.425781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2" width="14.42578125" customWidth="1"/>
    <col min="13833" max="13833" width="13.7109375" customWidth="1"/>
    <col min="13834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42578125" customWidth="1"/>
    <col min="14079" max="14079" width="16.425781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8" width="14.42578125" customWidth="1"/>
    <col min="14089" max="14089" width="13.7109375" customWidth="1"/>
    <col min="14090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42578125" customWidth="1"/>
    <col min="14335" max="14335" width="16.425781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4" width="14.42578125" customWidth="1"/>
    <col min="14345" max="14345" width="13.7109375" customWidth="1"/>
    <col min="14346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42578125" customWidth="1"/>
    <col min="14591" max="14591" width="16.425781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0" width="14.42578125" customWidth="1"/>
    <col min="14601" max="14601" width="13.7109375" customWidth="1"/>
    <col min="14602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42578125" customWidth="1"/>
    <col min="14847" max="14847" width="16.425781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6" width="14.42578125" customWidth="1"/>
    <col min="14857" max="14857" width="13.7109375" customWidth="1"/>
    <col min="14858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42578125" customWidth="1"/>
    <col min="15103" max="15103" width="16.425781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2" width="14.42578125" customWidth="1"/>
    <col min="15113" max="15113" width="13.7109375" customWidth="1"/>
    <col min="15114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42578125" customWidth="1"/>
    <col min="15359" max="15359" width="16.425781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8" width="14.42578125" customWidth="1"/>
    <col min="15369" max="15369" width="13.7109375" customWidth="1"/>
    <col min="15370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42578125" customWidth="1"/>
    <col min="15615" max="15615" width="16.425781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4" width="14.42578125" customWidth="1"/>
    <col min="15625" max="15625" width="13.7109375" customWidth="1"/>
    <col min="15626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42578125" customWidth="1"/>
    <col min="15871" max="15871" width="16.425781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0" width="14.42578125" customWidth="1"/>
    <col min="15881" max="15881" width="13.7109375" customWidth="1"/>
    <col min="15882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42578125" customWidth="1"/>
    <col min="16127" max="16127" width="16.425781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6" width="14.42578125" customWidth="1"/>
    <col min="16137" max="16137" width="13.7109375" customWidth="1"/>
    <col min="16138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2" spans="2:37" ht="16.5" customHeight="1" thickBot="1">
      <c r="B2" s="357" t="s">
        <v>168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65"/>
      <c r="N2" s="365"/>
      <c r="O2" s="365"/>
      <c r="P2" s="365"/>
      <c r="Q2" s="365"/>
      <c r="R2" s="365"/>
      <c r="S2" s="365"/>
    </row>
    <row r="3" spans="2:37" s="7" customFormat="1" ht="32.25" customHeight="1" thickBo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366" t="s">
        <v>26</v>
      </c>
      <c r="N3" s="367"/>
      <c r="O3" s="368"/>
      <c r="P3" s="275" t="s">
        <v>33</v>
      </c>
      <c r="Q3" s="367" t="s">
        <v>34</v>
      </c>
      <c r="R3" s="367"/>
      <c r="S3" s="36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2:37" ht="26.25" thickBot="1">
      <c r="B4" s="267" t="s">
        <v>0</v>
      </c>
      <c r="C4" s="285" t="s">
        <v>165</v>
      </c>
      <c r="D4" s="286" t="s">
        <v>1</v>
      </c>
      <c r="E4" s="267" t="s">
        <v>481</v>
      </c>
      <c r="F4" s="267" t="s">
        <v>115</v>
      </c>
      <c r="G4" s="268" t="s">
        <v>164</v>
      </c>
      <c r="H4" s="267" t="s">
        <v>116</v>
      </c>
      <c r="I4" s="287" t="s">
        <v>2</v>
      </c>
      <c r="J4" s="369" t="s">
        <v>3</v>
      </c>
      <c r="K4" s="370"/>
      <c r="L4" s="371"/>
      <c r="M4" s="269" t="s">
        <v>27</v>
      </c>
      <c r="N4" s="270" t="s">
        <v>28</v>
      </c>
      <c r="O4" s="271" t="s">
        <v>29</v>
      </c>
      <c r="P4" s="271" t="s">
        <v>27</v>
      </c>
      <c r="Q4" s="272" t="s">
        <v>4</v>
      </c>
      <c r="R4" s="273" t="s">
        <v>5</v>
      </c>
      <c r="S4" s="274" t="s">
        <v>6</v>
      </c>
    </row>
    <row r="5" spans="2:37" s="16" customFormat="1" ht="33.75">
      <c r="B5" s="106">
        <v>1</v>
      </c>
      <c r="C5" s="239" t="s">
        <v>74</v>
      </c>
      <c r="D5" s="117" t="s">
        <v>94</v>
      </c>
      <c r="E5" s="232" t="s">
        <v>498</v>
      </c>
      <c r="F5" s="169" t="s">
        <v>133</v>
      </c>
      <c r="G5" s="240" t="s">
        <v>134</v>
      </c>
      <c r="H5" s="215" t="str">
        <f>UPPER(G5)</f>
        <v>MINISTRAR TREINAMENTO - PROJETO AGHUSE - HOSPITAL MILITAR DO EXÉRCITO - MÓDULO AMBULATÓRIO ADMINISTRATIVO E ASSISTENCIAL .</v>
      </c>
      <c r="I5" s="109" t="s">
        <v>65</v>
      </c>
      <c r="J5" s="110">
        <v>43497</v>
      </c>
      <c r="K5" s="111">
        <v>11</v>
      </c>
      <c r="L5" s="112">
        <v>13</v>
      </c>
      <c r="M5" s="124">
        <v>45.82</v>
      </c>
      <c r="N5" s="124">
        <v>131.19</v>
      </c>
      <c r="O5" s="124"/>
      <c r="P5" s="241">
        <v>0</v>
      </c>
      <c r="Q5" s="113">
        <f>1123.98+619.39</f>
        <v>1743.37</v>
      </c>
      <c r="R5" s="114">
        <f>651.2+111.1</f>
        <v>762.30000000000007</v>
      </c>
      <c r="S5" s="115">
        <f>M5+N5+O5+P5+Q5+R5</f>
        <v>2682.68</v>
      </c>
      <c r="T5" s="15"/>
      <c r="U5" s="15"/>
      <c r="V5" s="15"/>
      <c r="W5" s="15"/>
    </row>
    <row r="6" spans="2:37" s="16" customFormat="1" ht="33.75" customHeight="1">
      <c r="B6" s="94">
        <v>2</v>
      </c>
      <c r="C6" s="190" t="s">
        <v>75</v>
      </c>
      <c r="D6" s="18" t="s">
        <v>95</v>
      </c>
      <c r="E6" s="230" t="s">
        <v>501</v>
      </c>
      <c r="F6" s="194" t="s">
        <v>135</v>
      </c>
      <c r="G6" s="178" t="s">
        <v>134</v>
      </c>
      <c r="H6" s="166" t="str">
        <f t="shared" ref="H6:H24" si="0">UPPER(G6)</f>
        <v>MINISTRAR TREINAMENTO - PROJETO AGHUSE - HOSPITAL MILITAR DO EXÉRCITO - MÓDULO AMBULATÓRIO ADMINISTRATIVO E ASSISTENCIAL .</v>
      </c>
      <c r="I6" s="9" t="s">
        <v>65</v>
      </c>
      <c r="J6" s="17">
        <v>43497</v>
      </c>
      <c r="K6" s="10">
        <v>11</v>
      </c>
      <c r="L6" s="11">
        <v>13</v>
      </c>
      <c r="M6" s="57">
        <v>98.18</v>
      </c>
      <c r="N6" s="57">
        <v>95.37</v>
      </c>
      <c r="O6" s="57"/>
      <c r="P6" s="54">
        <v>0</v>
      </c>
      <c r="Q6" s="13">
        <f>1123.98+619.39</f>
        <v>1743.37</v>
      </c>
      <c r="R6" s="14">
        <f>651.2+124.3</f>
        <v>775.5</v>
      </c>
      <c r="S6" s="153">
        <f t="shared" ref="S6:S24" si="1">M6+N6+O6+P6+Q6+R6</f>
        <v>2712.42</v>
      </c>
      <c r="T6" s="15"/>
      <c r="U6" s="15"/>
      <c r="V6" s="15"/>
      <c r="W6" s="15"/>
    </row>
    <row r="7" spans="2:37" s="16" customFormat="1" ht="33.75">
      <c r="B7" s="94">
        <v>3</v>
      </c>
      <c r="C7" s="189" t="s">
        <v>76</v>
      </c>
      <c r="D7" s="18" t="s">
        <v>96</v>
      </c>
      <c r="E7" s="230" t="s">
        <v>502</v>
      </c>
      <c r="F7" s="167" t="s">
        <v>136</v>
      </c>
      <c r="G7" s="178" t="s">
        <v>134</v>
      </c>
      <c r="H7" s="166" t="str">
        <f t="shared" si="0"/>
        <v>MINISTRAR TREINAMENTO - PROJETO AGHUSE - HOSPITAL MILITAR DO EXÉRCITO - MÓDULO AMBULATÓRIO ADMINISTRATIVO E ASSISTENCIAL .</v>
      </c>
      <c r="I7" s="9" t="s">
        <v>65</v>
      </c>
      <c r="J7" s="17">
        <v>43497</v>
      </c>
      <c r="K7" s="10">
        <v>11</v>
      </c>
      <c r="L7" s="11">
        <v>13</v>
      </c>
      <c r="M7" s="57">
        <v>77.91</v>
      </c>
      <c r="N7" s="57">
        <v>76.78</v>
      </c>
      <c r="O7" s="57"/>
      <c r="P7" s="161">
        <v>0</v>
      </c>
      <c r="Q7" s="13">
        <f>1123.98+619.39</f>
        <v>1743.37</v>
      </c>
      <c r="R7" s="14">
        <f>651.2+108.9</f>
        <v>760.1</v>
      </c>
      <c r="S7" s="153">
        <f t="shared" si="1"/>
        <v>2658.16</v>
      </c>
      <c r="T7" s="15"/>
      <c r="U7" s="15"/>
      <c r="V7" s="15"/>
      <c r="W7" s="15"/>
    </row>
    <row r="8" spans="2:37" s="16" customFormat="1" ht="27" customHeight="1">
      <c r="B8" s="94">
        <v>4</v>
      </c>
      <c r="C8" s="190" t="s">
        <v>77</v>
      </c>
      <c r="D8" s="18" t="s">
        <v>97</v>
      </c>
      <c r="E8" s="238" t="s">
        <v>500</v>
      </c>
      <c r="F8" s="236" t="s">
        <v>137</v>
      </c>
      <c r="G8" s="242" t="s">
        <v>138</v>
      </c>
      <c r="H8" s="166" t="str">
        <f t="shared" si="0"/>
        <v>PARTICIPAR DA REUNIÃO DA COMISSÃO CIENTÍFICA E ORGANIZADORA DO V CONGRESSO ABRAHUE.</v>
      </c>
      <c r="I8" s="9" t="s">
        <v>65</v>
      </c>
      <c r="J8" s="17">
        <v>43497</v>
      </c>
      <c r="K8" s="10">
        <v>13</v>
      </c>
      <c r="L8" s="11">
        <v>13</v>
      </c>
      <c r="M8" s="57"/>
      <c r="N8" s="57"/>
      <c r="O8" s="57"/>
      <c r="P8" s="54">
        <v>0</v>
      </c>
      <c r="Q8" s="13">
        <v>1772.37</v>
      </c>
      <c r="R8" s="14">
        <v>0</v>
      </c>
      <c r="S8" s="153">
        <f t="shared" si="1"/>
        <v>1772.37</v>
      </c>
      <c r="T8" s="15"/>
      <c r="U8" s="15"/>
      <c r="V8" s="15"/>
      <c r="W8" s="15"/>
    </row>
    <row r="9" spans="2:37" s="16" customFormat="1" ht="33.75">
      <c r="B9" s="94">
        <v>5</v>
      </c>
      <c r="C9" s="190" t="s">
        <v>78</v>
      </c>
      <c r="D9" s="18" t="s">
        <v>98</v>
      </c>
      <c r="E9" s="238" t="s">
        <v>503</v>
      </c>
      <c r="F9" s="202" t="s">
        <v>139</v>
      </c>
      <c r="G9" s="179" t="s">
        <v>140</v>
      </c>
      <c r="H9" s="166" t="str">
        <f t="shared" si="0"/>
        <v>MINISTRAR TREINAMENTO - PROJETO AGHUSE - HOSPITAL MILITAR DO EXÉRCITO - MÓDULOS CIRÚRGIAS ADM E MÉDICO.</v>
      </c>
      <c r="I9" s="9" t="s">
        <v>65</v>
      </c>
      <c r="J9" s="155">
        <v>43497</v>
      </c>
      <c r="K9" s="156">
        <v>17</v>
      </c>
      <c r="L9" s="157">
        <v>20</v>
      </c>
      <c r="M9" s="57">
        <v>179.98</v>
      </c>
      <c r="N9" s="57">
        <v>49</v>
      </c>
      <c r="O9" s="57"/>
      <c r="P9" s="54"/>
      <c r="Q9" s="13">
        <v>1319.37</v>
      </c>
      <c r="R9" s="14">
        <f>1190.25+135.69</f>
        <v>1325.94</v>
      </c>
      <c r="S9" s="153">
        <f t="shared" si="1"/>
        <v>2874.29</v>
      </c>
      <c r="T9" s="15"/>
      <c r="U9" s="15"/>
      <c r="V9" s="15"/>
      <c r="W9" s="15"/>
    </row>
    <row r="10" spans="2:37" s="16" customFormat="1" ht="33.75">
      <c r="B10" s="94">
        <v>6</v>
      </c>
      <c r="C10" s="190" t="s">
        <v>79</v>
      </c>
      <c r="D10" s="227" t="s">
        <v>99</v>
      </c>
      <c r="E10" s="230" t="s">
        <v>499</v>
      </c>
      <c r="F10" s="194" t="s">
        <v>141</v>
      </c>
      <c r="G10" s="179" t="s">
        <v>140</v>
      </c>
      <c r="H10" s="166" t="str">
        <f t="shared" si="0"/>
        <v>MINISTRAR TREINAMENTO - PROJETO AGHUSE - HOSPITAL MILITAR DO EXÉRCITO - MÓDULOS CIRÚRGIAS ADM E MÉDICO.</v>
      </c>
      <c r="I10" s="9" t="s">
        <v>65</v>
      </c>
      <c r="J10" s="155">
        <v>43498</v>
      </c>
      <c r="K10" s="10">
        <v>20</v>
      </c>
      <c r="L10" s="11">
        <v>21</v>
      </c>
      <c r="M10" s="57">
        <f>90+64</f>
        <v>154</v>
      </c>
      <c r="N10" s="57">
        <v>78.209999999999994</v>
      </c>
      <c r="O10" s="57"/>
      <c r="P10" s="54">
        <v>0</v>
      </c>
      <c r="Q10" s="13">
        <f>1286.37</f>
        <v>1286.3699999999999</v>
      </c>
      <c r="R10" s="14">
        <f>396.75+114.95</f>
        <v>511.7</v>
      </c>
      <c r="S10" s="153">
        <f t="shared" si="1"/>
        <v>2030.28</v>
      </c>
      <c r="T10" s="15"/>
      <c r="U10" s="15"/>
      <c r="V10" s="15"/>
      <c r="W10" s="15"/>
    </row>
    <row r="11" spans="2:37" s="16" customFormat="1" ht="22.5">
      <c r="B11" s="94">
        <v>7</v>
      </c>
      <c r="C11" s="190" t="s">
        <v>80</v>
      </c>
      <c r="D11" s="18" t="s">
        <v>100</v>
      </c>
      <c r="E11" s="230" t="s">
        <v>504</v>
      </c>
      <c r="F11" s="237" t="s">
        <v>142</v>
      </c>
      <c r="G11" s="243" t="s">
        <v>143</v>
      </c>
      <c r="H11" s="166" t="str">
        <f t="shared" si="0"/>
        <v>EFETUAR PALESTRA "COMUNICAÇÃO NÃO VIOLENTA EM AMBIENTE HOSPITALAR".</v>
      </c>
      <c r="I11" s="10" t="s">
        <v>101</v>
      </c>
      <c r="J11" s="155">
        <v>43499</v>
      </c>
      <c r="K11" s="10">
        <v>11</v>
      </c>
      <c r="L11" s="11">
        <v>18</v>
      </c>
      <c r="M11" s="57"/>
      <c r="N11" s="57"/>
      <c r="O11" s="57"/>
      <c r="P11" s="54">
        <v>0</v>
      </c>
      <c r="Q11" s="13">
        <f>1832.95+505</f>
        <v>2337.9499999999998</v>
      </c>
      <c r="R11" s="14">
        <v>0</v>
      </c>
      <c r="S11" s="153">
        <f t="shared" si="1"/>
        <v>2337.9499999999998</v>
      </c>
      <c r="T11" s="15"/>
      <c r="U11" s="15"/>
      <c r="V11" s="15"/>
      <c r="W11" s="15"/>
    </row>
    <row r="12" spans="2:37" s="16" customFormat="1" ht="23.25">
      <c r="B12" s="94">
        <v>8</v>
      </c>
      <c r="C12" s="189" t="s">
        <v>81</v>
      </c>
      <c r="D12" s="53" t="s">
        <v>102</v>
      </c>
      <c r="E12" s="238" t="s">
        <v>496</v>
      </c>
      <c r="F12" s="202" t="s">
        <v>144</v>
      </c>
      <c r="G12" s="180" t="s">
        <v>150</v>
      </c>
      <c r="H12" s="166" t="str">
        <f t="shared" si="0"/>
        <v>VISITA DIAGNÓSTICO DO HOSPITAL MILITAR PARA IMPLANTAÇÃO DO SISTEMA AGHUSE.</v>
      </c>
      <c r="I12" s="10" t="s">
        <v>103</v>
      </c>
      <c r="J12" s="155">
        <v>43500</v>
      </c>
      <c r="K12" s="10">
        <v>18</v>
      </c>
      <c r="L12" s="11">
        <v>21</v>
      </c>
      <c r="M12" s="57">
        <v>87.51</v>
      </c>
      <c r="N12" s="57">
        <v>260.5</v>
      </c>
      <c r="O12" s="57"/>
      <c r="P12" s="54">
        <v>74.05</v>
      </c>
      <c r="Q12" s="13">
        <f>1362.08+964.85</f>
        <v>2326.9299999999998</v>
      </c>
      <c r="R12" s="14">
        <f>869.04+125</f>
        <v>994.04</v>
      </c>
      <c r="S12" s="153">
        <f t="shared" si="1"/>
        <v>3743.0299999999997</v>
      </c>
      <c r="T12" s="15"/>
      <c r="U12" s="15"/>
      <c r="V12" s="15"/>
      <c r="W12" s="15"/>
    </row>
    <row r="13" spans="2:37" s="16" customFormat="1" ht="24.75" customHeight="1">
      <c r="B13" s="94">
        <v>10</v>
      </c>
      <c r="C13" s="189" t="s">
        <v>82</v>
      </c>
      <c r="D13" s="18" t="s">
        <v>104</v>
      </c>
      <c r="E13" s="238" t="s">
        <v>505</v>
      </c>
      <c r="F13" s="236" t="s">
        <v>145</v>
      </c>
      <c r="G13" s="180" t="s">
        <v>149</v>
      </c>
      <c r="H13" s="166" t="str">
        <f t="shared" si="0"/>
        <v>VISITA DIAGNÓSTICO DO HOSPITAL MILITAR PARA IMPLANTAÇÃO DO SISTEMA AGHUSE.</v>
      </c>
      <c r="I13" s="10" t="s">
        <v>103</v>
      </c>
      <c r="J13" s="155">
        <v>43500</v>
      </c>
      <c r="K13" s="10">
        <v>18</v>
      </c>
      <c r="L13" s="11">
        <v>21</v>
      </c>
      <c r="M13" s="57">
        <v>93.74</v>
      </c>
      <c r="N13" s="57">
        <v>272.89</v>
      </c>
      <c r="O13" s="57"/>
      <c r="P13" s="54">
        <v>0</v>
      </c>
      <c r="Q13" s="13">
        <f>1152.08+964.85</f>
        <v>2116.9299999999998</v>
      </c>
      <c r="R13" s="14">
        <f>869.04+115</f>
        <v>984.04</v>
      </c>
      <c r="S13" s="153">
        <f t="shared" si="1"/>
        <v>3467.6</v>
      </c>
      <c r="T13" s="15"/>
      <c r="U13" s="15"/>
      <c r="V13" s="15"/>
      <c r="W13" s="15"/>
    </row>
    <row r="14" spans="2:37" s="16" customFormat="1" ht="27.75" customHeight="1">
      <c r="B14" s="94">
        <v>11</v>
      </c>
      <c r="C14" s="189" t="s">
        <v>83</v>
      </c>
      <c r="D14" s="18" t="s">
        <v>105</v>
      </c>
      <c r="E14" s="238" t="s">
        <v>506</v>
      </c>
      <c r="F14" s="236" t="s">
        <v>146</v>
      </c>
      <c r="G14" s="180" t="s">
        <v>149</v>
      </c>
      <c r="H14" s="166" t="str">
        <f t="shared" si="0"/>
        <v>VISITA DIAGNÓSTICO DO HOSPITAL MILITAR PARA IMPLANTAÇÃO DO SISTEMA AGHUSE.</v>
      </c>
      <c r="I14" s="10" t="s">
        <v>103</v>
      </c>
      <c r="J14" s="155">
        <v>43500</v>
      </c>
      <c r="K14" s="10">
        <v>18</v>
      </c>
      <c r="L14" s="11">
        <v>21</v>
      </c>
      <c r="M14" s="57"/>
      <c r="N14" s="57">
        <v>189.4</v>
      </c>
      <c r="O14" s="57"/>
      <c r="P14" s="54">
        <v>0</v>
      </c>
      <c r="Q14" s="13">
        <f>1152.08+964.85</f>
        <v>2116.9299999999998</v>
      </c>
      <c r="R14" s="14">
        <f>869.04+99</f>
        <v>968.04</v>
      </c>
      <c r="S14" s="153">
        <f t="shared" si="1"/>
        <v>3274.37</v>
      </c>
      <c r="T14" s="15"/>
      <c r="U14" s="15"/>
      <c r="V14" s="15"/>
      <c r="W14" s="15"/>
    </row>
    <row r="15" spans="2:37" s="16" customFormat="1" ht="26.25" customHeight="1">
      <c r="B15" s="94">
        <v>12</v>
      </c>
      <c r="C15" s="189" t="s">
        <v>84</v>
      </c>
      <c r="D15" s="18" t="s">
        <v>106</v>
      </c>
      <c r="E15" s="238" t="s">
        <v>507</v>
      </c>
      <c r="F15" s="167" t="s">
        <v>147</v>
      </c>
      <c r="G15" s="181" t="s">
        <v>148</v>
      </c>
      <c r="H15" s="166" t="str">
        <f t="shared" si="0"/>
        <v>VISITA DISGNÓSTICO DO HOSPITAL MILITAR PARA IMPLANTAÇÃO DOS SISTEMA AGHUSE.</v>
      </c>
      <c r="I15" s="10" t="s">
        <v>103</v>
      </c>
      <c r="J15" s="155">
        <v>43500</v>
      </c>
      <c r="K15" s="10">
        <v>18</v>
      </c>
      <c r="L15" s="11">
        <v>21</v>
      </c>
      <c r="M15" s="57">
        <v>59.12</v>
      </c>
      <c r="N15" s="57">
        <v>264.39999999999998</v>
      </c>
      <c r="O15" s="57"/>
      <c r="P15" s="54">
        <v>0</v>
      </c>
      <c r="Q15" s="13">
        <f>1152.08+964.85</f>
        <v>2116.9299999999998</v>
      </c>
      <c r="R15" s="14">
        <f>869.4+81</f>
        <v>950.4</v>
      </c>
      <c r="S15" s="153">
        <f t="shared" si="1"/>
        <v>3390.85</v>
      </c>
      <c r="T15" s="15"/>
      <c r="U15" s="15"/>
      <c r="V15" s="15"/>
      <c r="W15" s="15"/>
    </row>
    <row r="16" spans="2:37" s="16" customFormat="1" ht="36.75" customHeight="1">
      <c r="B16" s="94">
        <v>13</v>
      </c>
      <c r="C16" s="189" t="s">
        <v>85</v>
      </c>
      <c r="D16" s="18" t="s">
        <v>70</v>
      </c>
      <c r="E16" s="230" t="s">
        <v>484</v>
      </c>
      <c r="F16" s="236" t="s">
        <v>151</v>
      </c>
      <c r="G16" s="244" t="s">
        <v>152</v>
      </c>
      <c r="H16" s="166" t="str">
        <f t="shared" si="0"/>
        <v>PARA PARTICIPAR DE UMA VISITA  NO GABINETE DO VICE-PRESIDENTE DO BRASIL, GEN. HAMILTON MOURÃO.</v>
      </c>
      <c r="I16" s="10" t="s">
        <v>65</v>
      </c>
      <c r="J16" s="17">
        <v>43497</v>
      </c>
      <c r="K16" s="10">
        <v>20</v>
      </c>
      <c r="L16" s="11">
        <v>20</v>
      </c>
      <c r="M16" s="57"/>
      <c r="N16" s="57">
        <v>71.28</v>
      </c>
      <c r="O16" s="57"/>
      <c r="P16" s="54">
        <v>0</v>
      </c>
      <c r="Q16" s="13">
        <v>1112.3699999999999</v>
      </c>
      <c r="R16" s="14">
        <v>500</v>
      </c>
      <c r="S16" s="153">
        <f t="shared" si="1"/>
        <v>1683.6499999999999</v>
      </c>
      <c r="T16" s="15"/>
      <c r="U16" s="15"/>
      <c r="V16" s="15"/>
      <c r="W16" s="15"/>
    </row>
    <row r="17" spans="2:23" s="16" customFormat="1" ht="22.5">
      <c r="B17" s="94">
        <v>14</v>
      </c>
      <c r="C17" s="189" t="s">
        <v>86</v>
      </c>
      <c r="D17" s="18" t="s">
        <v>107</v>
      </c>
      <c r="E17" s="230" t="s">
        <v>483</v>
      </c>
      <c r="F17" s="236" t="s">
        <v>118</v>
      </c>
      <c r="G17" s="181" t="s">
        <v>117</v>
      </c>
      <c r="H17" s="166" t="str">
        <f t="shared" si="0"/>
        <v>REUNIÃO DO CONSELHO DE ADMINISTRAÇÃO DO HCPA.</v>
      </c>
      <c r="I17" s="10" t="s">
        <v>108</v>
      </c>
      <c r="J17" s="17">
        <v>43497</v>
      </c>
      <c r="K17" s="10">
        <v>18</v>
      </c>
      <c r="L17" s="11">
        <v>18</v>
      </c>
      <c r="M17" s="57"/>
      <c r="N17" s="57"/>
      <c r="O17" s="57"/>
      <c r="P17" s="54">
        <v>0</v>
      </c>
      <c r="Q17" s="13">
        <f>607.05+714.98</f>
        <v>1322.03</v>
      </c>
      <c r="R17" s="14">
        <v>0</v>
      </c>
      <c r="S17" s="153">
        <f t="shared" si="1"/>
        <v>1322.03</v>
      </c>
      <c r="T17" s="15"/>
      <c r="U17" s="15"/>
      <c r="V17" s="15"/>
      <c r="W17" s="15"/>
    </row>
    <row r="18" spans="2:23" s="16" customFormat="1" ht="35.25" customHeight="1">
      <c r="B18" s="94">
        <v>15</v>
      </c>
      <c r="C18" s="189" t="s">
        <v>87</v>
      </c>
      <c r="D18" s="18" t="s">
        <v>109</v>
      </c>
      <c r="E18" s="230" t="s">
        <v>494</v>
      </c>
      <c r="F18" s="194" t="s">
        <v>153</v>
      </c>
      <c r="G18" s="244" t="s">
        <v>152</v>
      </c>
      <c r="H18" s="166" t="str">
        <f t="shared" si="0"/>
        <v>PARA PARTICIPAR DE UMA VISITA  NO GABINETE DO VICE-PRESIDENTE DO BRASIL, GEN. HAMILTON MOURÃO.</v>
      </c>
      <c r="I18" s="10" t="s">
        <v>65</v>
      </c>
      <c r="J18" s="17">
        <v>43497</v>
      </c>
      <c r="K18" s="10">
        <v>20</v>
      </c>
      <c r="L18" s="11">
        <v>20</v>
      </c>
      <c r="M18" s="57"/>
      <c r="N18" s="57">
        <v>86.79</v>
      </c>
      <c r="O18" s="57"/>
      <c r="P18" s="54">
        <v>45.74</v>
      </c>
      <c r="Q18" s="13">
        <v>1772.37</v>
      </c>
      <c r="R18" s="14">
        <v>0</v>
      </c>
      <c r="S18" s="153">
        <f t="shared" si="1"/>
        <v>1904.8999999999999</v>
      </c>
      <c r="T18" s="15"/>
      <c r="U18" s="15"/>
      <c r="V18" s="15"/>
      <c r="W18" s="15"/>
    </row>
    <row r="19" spans="2:23" s="16" customFormat="1" ht="23.25" customHeight="1">
      <c r="B19" s="94">
        <v>16</v>
      </c>
      <c r="C19" s="189" t="s">
        <v>88</v>
      </c>
      <c r="D19" s="18" t="s">
        <v>58</v>
      </c>
      <c r="E19" s="230" t="s">
        <v>486</v>
      </c>
      <c r="F19" s="236" t="s">
        <v>118</v>
      </c>
      <c r="G19" s="181" t="s">
        <v>117</v>
      </c>
      <c r="H19" s="166" t="str">
        <f t="shared" si="0"/>
        <v>REUNIÃO DO CONSELHO DE ADMINISTRAÇÃO DO HCPA.</v>
      </c>
      <c r="I19" s="9" t="s">
        <v>56</v>
      </c>
      <c r="J19" s="17">
        <v>43497</v>
      </c>
      <c r="K19" s="10">
        <v>17</v>
      </c>
      <c r="L19" s="11">
        <v>18</v>
      </c>
      <c r="M19" s="57"/>
      <c r="N19" s="57"/>
      <c r="O19" s="57"/>
      <c r="P19" s="161">
        <v>0</v>
      </c>
      <c r="Q19" s="13">
        <f>1132.39+1123.98</f>
        <v>2256.37</v>
      </c>
      <c r="R19" s="14">
        <v>0</v>
      </c>
      <c r="S19" s="153">
        <f t="shared" si="1"/>
        <v>2256.37</v>
      </c>
      <c r="T19" s="15"/>
      <c r="U19" s="15"/>
      <c r="V19" s="15"/>
      <c r="W19" s="15"/>
    </row>
    <row r="20" spans="2:23" s="16" customFormat="1" ht="33.75" customHeight="1">
      <c r="B20" s="94">
        <v>17</v>
      </c>
      <c r="C20" s="189" t="s">
        <v>89</v>
      </c>
      <c r="D20" s="53" t="s">
        <v>110</v>
      </c>
      <c r="E20" s="230" t="s">
        <v>508</v>
      </c>
      <c r="F20" s="167" t="s">
        <v>154</v>
      </c>
      <c r="G20" s="179" t="s">
        <v>155</v>
      </c>
      <c r="H20" s="166" t="str">
        <f t="shared" si="0"/>
        <v>MINISTRAR TREINAMENTO - PROJETO AGHUSE - HOSPITAL MILITAR DO EXÉRCITO - MÓDULOS SESSÕES TERAPÊUTICAS - QUIMIOTERAPIA.</v>
      </c>
      <c r="I20" s="10" t="s">
        <v>65</v>
      </c>
      <c r="J20" s="17">
        <v>43497</v>
      </c>
      <c r="K20" s="10">
        <v>27</v>
      </c>
      <c r="L20" s="11">
        <v>28</v>
      </c>
      <c r="M20" s="57">
        <v>77.48</v>
      </c>
      <c r="N20" s="57">
        <v>85.69</v>
      </c>
      <c r="O20" s="57"/>
      <c r="P20" s="161">
        <v>0</v>
      </c>
      <c r="Q20" s="13">
        <v>1439.37</v>
      </c>
      <c r="R20" s="14">
        <f>299.2+160.6</f>
        <v>459.79999999999995</v>
      </c>
      <c r="S20" s="153">
        <f t="shared" si="1"/>
        <v>2062.34</v>
      </c>
      <c r="T20" s="15"/>
      <c r="U20" s="15"/>
      <c r="V20" s="15"/>
      <c r="W20" s="15"/>
    </row>
    <row r="21" spans="2:23" s="16" customFormat="1" ht="33.75">
      <c r="B21" s="94">
        <v>18</v>
      </c>
      <c r="C21" s="189" t="s">
        <v>90</v>
      </c>
      <c r="D21" s="18" t="s">
        <v>111</v>
      </c>
      <c r="E21" s="230" t="s">
        <v>509</v>
      </c>
      <c r="F21" s="236" t="s">
        <v>156</v>
      </c>
      <c r="G21" s="179" t="s">
        <v>157</v>
      </c>
      <c r="H21" s="166" t="str">
        <f t="shared" si="0"/>
        <v>MINISTRAR TREINAMENTO - PROJETO AGHUSE - HOSPITAL MILITAR DO EXÉRCITO - MÓDULO ENGENHARIA.</v>
      </c>
      <c r="I21" s="10" t="s">
        <v>65</v>
      </c>
      <c r="J21" s="17">
        <v>43497</v>
      </c>
      <c r="K21" s="10">
        <v>25</v>
      </c>
      <c r="L21" s="11">
        <v>27</v>
      </c>
      <c r="M21" s="57">
        <v>51.9</v>
      </c>
      <c r="N21" s="57">
        <v>128.30000000000001</v>
      </c>
      <c r="O21" s="57"/>
      <c r="P21" s="161">
        <v>0</v>
      </c>
      <c r="Q21" s="13">
        <v>2312.37</v>
      </c>
      <c r="R21" s="14">
        <f>629.2+79.2</f>
        <v>708.40000000000009</v>
      </c>
      <c r="S21" s="153">
        <f t="shared" si="1"/>
        <v>3200.97</v>
      </c>
      <c r="T21" s="15"/>
      <c r="U21" s="15"/>
      <c r="V21" s="15"/>
      <c r="W21" s="15"/>
    </row>
    <row r="22" spans="2:23" s="16" customFormat="1" ht="33.75">
      <c r="B22" s="94">
        <v>19</v>
      </c>
      <c r="C22" s="189" t="s">
        <v>91</v>
      </c>
      <c r="D22" s="18" t="s">
        <v>66</v>
      </c>
      <c r="E22" s="230" t="s">
        <v>491</v>
      </c>
      <c r="F22" s="202" t="s">
        <v>158</v>
      </c>
      <c r="G22" s="179" t="s">
        <v>159</v>
      </c>
      <c r="H22" s="166" t="str">
        <f t="shared" si="0"/>
        <v>MINISTRAR TREINAMENTO - PROJETO AGHUSE - HOSPITAL MILITAR DO EXÉRCITO - MÓDULO MANUTENÇÃO (ENGENHARIA).</v>
      </c>
      <c r="I22" s="10" t="s">
        <v>65</v>
      </c>
      <c r="J22" s="17">
        <v>43497</v>
      </c>
      <c r="K22" s="10">
        <v>25</v>
      </c>
      <c r="L22" s="11">
        <v>27</v>
      </c>
      <c r="M22" s="57"/>
      <c r="N22" s="57">
        <v>90</v>
      </c>
      <c r="O22" s="57"/>
      <c r="P22" s="54">
        <f>44+45+24+28+31+29+26+27+46+88</f>
        <v>388</v>
      </c>
      <c r="Q22" s="13">
        <v>2312.37</v>
      </c>
      <c r="R22" s="14">
        <f>629.2+73.7</f>
        <v>702.90000000000009</v>
      </c>
      <c r="S22" s="153">
        <f t="shared" si="1"/>
        <v>3493.27</v>
      </c>
      <c r="T22" s="15"/>
      <c r="U22" s="15"/>
      <c r="V22" s="15"/>
      <c r="W22" s="15"/>
    </row>
    <row r="23" spans="2:23" s="16" customFormat="1" ht="45">
      <c r="B23" s="94">
        <v>20</v>
      </c>
      <c r="C23" s="189" t="s">
        <v>92</v>
      </c>
      <c r="D23" s="18" t="s">
        <v>112</v>
      </c>
      <c r="E23" s="230" t="s">
        <v>498</v>
      </c>
      <c r="F23" s="236" t="s">
        <v>160</v>
      </c>
      <c r="G23" s="245" t="s">
        <v>161</v>
      </c>
      <c r="H23" s="166" t="str">
        <f t="shared" si="0"/>
        <v>TREINAMENTO  PROJETO AGHUSE - SESAB -  MÓDULOS DA ENFERMAGEM NO PROCESSO DE  INTERNAÇÃO ENFERMAGEM E EMERGÊNCIA ENFERMAGEM.</v>
      </c>
      <c r="I23" s="9" t="s">
        <v>72</v>
      </c>
      <c r="J23" s="17">
        <v>43497</v>
      </c>
      <c r="K23" s="10">
        <v>24</v>
      </c>
      <c r="L23" s="11">
        <v>27</v>
      </c>
      <c r="M23" s="57">
        <v>55.13</v>
      </c>
      <c r="N23" s="57">
        <v>299.60000000000002</v>
      </c>
      <c r="O23" s="57"/>
      <c r="P23" s="161">
        <v>0</v>
      </c>
      <c r="Q23" s="13">
        <f>680.98+680.98</f>
        <v>1361.96</v>
      </c>
      <c r="R23" s="14">
        <f>511.35+119</f>
        <v>630.35</v>
      </c>
      <c r="S23" s="153">
        <f t="shared" si="1"/>
        <v>2347.04</v>
      </c>
      <c r="T23" s="15"/>
      <c r="U23" s="15"/>
      <c r="V23" s="15"/>
      <c r="W23" s="15"/>
    </row>
    <row r="24" spans="2:23" s="16" customFormat="1" ht="16.5" thickBot="1">
      <c r="B24" s="95">
        <v>21</v>
      </c>
      <c r="C24" s="191" t="s">
        <v>93</v>
      </c>
      <c r="D24" s="97" t="s">
        <v>113</v>
      </c>
      <c r="E24" s="246" t="s">
        <v>497</v>
      </c>
      <c r="F24" s="247" t="s">
        <v>162</v>
      </c>
      <c r="G24" s="248" t="s">
        <v>163</v>
      </c>
      <c r="H24" s="249" t="str">
        <f t="shared" si="0"/>
        <v>REALIZAR AUDIÊNCIA NA JUSTIÇA DO TRABALHO</v>
      </c>
      <c r="I24" s="98" t="s">
        <v>114</v>
      </c>
      <c r="J24" s="99">
        <v>43497</v>
      </c>
      <c r="K24" s="100">
        <v>19</v>
      </c>
      <c r="L24" s="101">
        <v>20</v>
      </c>
      <c r="M24" s="125">
        <v>272.81</v>
      </c>
      <c r="N24" s="125"/>
      <c r="O24" s="125"/>
      <c r="P24" s="209">
        <v>0</v>
      </c>
      <c r="Q24" s="103">
        <v>0</v>
      </c>
      <c r="R24" s="104">
        <f>202+60.16</f>
        <v>262.15999999999997</v>
      </c>
      <c r="S24" s="250">
        <f t="shared" si="1"/>
        <v>534.97</v>
      </c>
      <c r="T24" s="15"/>
      <c r="U24" s="15"/>
      <c r="V24" s="15"/>
      <c r="W24" s="15"/>
    </row>
    <row r="25" spans="2:23" s="15" customFormat="1" ht="12.75" thickBot="1">
      <c r="B25" s="19"/>
      <c r="C25" s="20"/>
      <c r="D25" s="21"/>
      <c r="E25" s="21"/>
      <c r="F25" s="21"/>
      <c r="G25" s="21"/>
      <c r="H25" s="21"/>
      <c r="I25" s="21"/>
      <c r="J25" s="22"/>
      <c r="K25" s="23"/>
      <c r="L25" s="24"/>
      <c r="M25" s="25"/>
      <c r="N25" s="25"/>
      <c r="O25" s="25"/>
      <c r="P25" s="26"/>
      <c r="Q25" s="27"/>
      <c r="R25" s="28"/>
      <c r="S25" s="28"/>
    </row>
    <row r="26" spans="2:23" s="30" customFormat="1" ht="16.5" thickBot="1">
      <c r="B26" s="284" t="s">
        <v>31</v>
      </c>
      <c r="C26" s="31"/>
      <c r="D26" s="147" t="s">
        <v>41</v>
      </c>
      <c r="E26" s="184"/>
      <c r="F26" s="31"/>
      <c r="G26" s="31"/>
      <c r="H26" s="31"/>
      <c r="I26" s="33"/>
      <c r="J26" s="31"/>
      <c r="K26" s="19"/>
      <c r="L26" s="32"/>
      <c r="M26" s="34">
        <f t="shared" ref="M26:R26" si="2">SUM(M5:M24)</f>
        <v>1253.58</v>
      </c>
      <c r="N26" s="34">
        <f t="shared" si="2"/>
        <v>2179.3999999999996</v>
      </c>
      <c r="O26" s="34">
        <f t="shared" si="2"/>
        <v>0</v>
      </c>
      <c r="P26" s="35">
        <f t="shared" si="2"/>
        <v>507.78999999999996</v>
      </c>
      <c r="Q26" s="37">
        <f t="shared" si="2"/>
        <v>34513.099999999991</v>
      </c>
      <c r="R26" s="38">
        <f t="shared" si="2"/>
        <v>11295.669999999998</v>
      </c>
      <c r="S26" s="36">
        <f>SUM(S5:S24)+P27</f>
        <v>49754.617900000005</v>
      </c>
    </row>
    <row r="27" spans="2:23" s="39" customFormat="1" ht="16.5" thickBot="1">
      <c r="C27" s="40"/>
      <c r="D27" s="358"/>
      <c r="E27" s="358"/>
      <c r="F27" s="358"/>
      <c r="G27" s="358"/>
      <c r="H27" s="358"/>
      <c r="I27" s="358"/>
      <c r="J27" s="358"/>
      <c r="K27" s="358"/>
      <c r="L27" s="41"/>
      <c r="M27" s="42"/>
      <c r="N27" s="87"/>
      <c r="O27" s="87" t="s">
        <v>31</v>
      </c>
      <c r="P27" s="26">
        <f>P26*1%</f>
        <v>5.0778999999999996</v>
      </c>
      <c r="S27" s="43"/>
    </row>
    <row r="28" spans="2:23" s="39" customFormat="1" ht="16.5" thickBot="1">
      <c r="C28" s="40"/>
      <c r="D28" s="40"/>
      <c r="E28" s="40"/>
      <c r="F28" s="40"/>
      <c r="G28" s="40"/>
      <c r="H28" s="40"/>
      <c r="I28" s="44"/>
      <c r="J28" s="40"/>
      <c r="K28" s="40"/>
      <c r="L28" s="41"/>
      <c r="M28" s="42"/>
      <c r="N28" s="42"/>
      <c r="O28" s="42"/>
      <c r="P28" s="89">
        <f>P26+P27</f>
        <v>512.86789999999996</v>
      </c>
      <c r="Q28" s="45"/>
      <c r="R28" s="43"/>
      <c r="S28" s="46" t="s">
        <v>8</v>
      </c>
    </row>
    <row r="29" spans="2:23" s="39" customFormat="1">
      <c r="C29" s="40"/>
      <c r="D29" s="359"/>
      <c r="E29" s="359"/>
      <c r="F29" s="359"/>
      <c r="G29" s="359"/>
      <c r="H29" s="359"/>
      <c r="I29" s="359"/>
      <c r="J29" s="359"/>
      <c r="K29" s="359"/>
      <c r="L29" s="41"/>
      <c r="M29" s="42"/>
      <c r="N29" s="42"/>
      <c r="O29" s="42"/>
      <c r="P29" s="26"/>
      <c r="Q29" s="5" t="s">
        <v>7</v>
      </c>
      <c r="R29" s="138">
        <f>M26+N26+O26+P28+Q26+R26</f>
        <v>49754.61789999999</v>
      </c>
      <c r="S29" s="47">
        <f>S26-R29</f>
        <v>0</v>
      </c>
    </row>
    <row r="30" spans="2:23" ht="15.75">
      <c r="C30" s="48"/>
      <c r="D30" s="49"/>
      <c r="E30" s="49"/>
      <c r="F30" s="49"/>
      <c r="G30" s="49"/>
      <c r="H30" s="49"/>
      <c r="I30" s="50"/>
      <c r="J30" s="51"/>
      <c r="K30" s="51"/>
      <c r="L30" s="51"/>
      <c r="N30" s="87"/>
      <c r="O30" s="87" t="s">
        <v>31</v>
      </c>
      <c r="P30" s="26" t="s">
        <v>32</v>
      </c>
    </row>
    <row r="31" spans="2:23">
      <c r="C31" s="48"/>
      <c r="D31" s="49"/>
      <c r="E31" s="49"/>
      <c r="F31" s="49"/>
      <c r="G31" s="49"/>
      <c r="H31" s="49"/>
      <c r="I31" s="50"/>
      <c r="J31" s="51"/>
      <c r="K31" s="51"/>
      <c r="L31" s="51"/>
      <c r="P31" s="26"/>
    </row>
    <row r="32" spans="2:23">
      <c r="C32" s="48"/>
      <c r="D32" s="49"/>
      <c r="E32" s="49"/>
      <c r="F32" s="49"/>
      <c r="G32" s="49"/>
      <c r="H32" s="49"/>
      <c r="I32" s="50"/>
      <c r="J32" s="51"/>
      <c r="K32" s="51"/>
      <c r="L32" s="51"/>
      <c r="P32" s="26"/>
    </row>
    <row r="33" spans="3:19">
      <c r="C33" s="48"/>
      <c r="D33" s="49"/>
      <c r="E33" s="49"/>
      <c r="F33" s="49"/>
      <c r="G33" s="49"/>
      <c r="H33" s="49"/>
      <c r="I33" s="50"/>
      <c r="J33" s="51"/>
      <c r="K33" s="51"/>
      <c r="L33" s="51"/>
      <c r="P33" s="26"/>
    </row>
    <row r="34" spans="3:19">
      <c r="C34" s="48"/>
      <c r="D34" s="49"/>
      <c r="E34" s="49"/>
      <c r="F34" s="49"/>
      <c r="G34" s="49"/>
      <c r="H34" s="49"/>
      <c r="I34" s="50"/>
      <c r="J34" s="51"/>
      <c r="K34" s="51"/>
      <c r="L34" s="51"/>
      <c r="P34" s="26"/>
    </row>
    <row r="35" spans="3:19">
      <c r="C35" s="48"/>
      <c r="D35" s="49"/>
      <c r="E35" s="49"/>
      <c r="F35" s="49"/>
      <c r="G35" s="49"/>
      <c r="H35" s="49"/>
      <c r="I35" s="50"/>
      <c r="J35" s="51"/>
      <c r="K35" s="51"/>
      <c r="L35" s="51"/>
      <c r="P35" s="26"/>
    </row>
    <row r="36" spans="3:19">
      <c r="C36" s="48"/>
      <c r="D36" s="49"/>
      <c r="E36" s="49"/>
      <c r="F36" s="49"/>
      <c r="G36" s="49"/>
      <c r="H36" s="49"/>
      <c r="I36" s="50"/>
      <c r="J36" s="51"/>
      <c r="K36" s="51"/>
      <c r="L36" s="51"/>
      <c r="P36" s="26"/>
    </row>
    <row r="37" spans="3:19">
      <c r="C37" s="48"/>
      <c r="D37" s="49"/>
      <c r="E37" s="49"/>
      <c r="F37" s="49"/>
      <c r="G37" s="49"/>
      <c r="H37" s="49"/>
      <c r="I37" s="50"/>
      <c r="J37" s="51"/>
      <c r="K37" s="51"/>
      <c r="L37" s="51"/>
      <c r="P37" s="26"/>
    </row>
    <row r="38" spans="3:19">
      <c r="C38" s="48"/>
      <c r="I38" s="50"/>
      <c r="J38" s="51"/>
      <c r="K38" s="51"/>
      <c r="L38" s="51"/>
      <c r="P38" s="26"/>
    </row>
    <row r="39" spans="3:19">
      <c r="C39" s="48"/>
      <c r="D39" s="49"/>
      <c r="E39" s="49"/>
      <c r="F39" s="49"/>
      <c r="G39" s="49"/>
      <c r="H39" s="49"/>
      <c r="I39" s="50"/>
      <c r="J39" s="51"/>
      <c r="K39" s="51"/>
      <c r="L39" s="51"/>
      <c r="P39" s="26"/>
    </row>
    <row r="40" spans="3:19">
      <c r="C40" s="48"/>
      <c r="D40" s="49"/>
      <c r="E40" s="49"/>
      <c r="F40" s="49"/>
      <c r="G40" s="49"/>
      <c r="H40" s="49"/>
      <c r="I40" s="50"/>
      <c r="J40" s="51"/>
      <c r="K40" s="51"/>
      <c r="L40" s="51"/>
      <c r="P40" s="52"/>
    </row>
    <row r="41" spans="3:19" ht="15.75">
      <c r="C41" s="48"/>
      <c r="D41" s="49"/>
      <c r="E41" s="49"/>
      <c r="F41" s="49"/>
      <c r="G41" s="49"/>
      <c r="H41" s="49"/>
      <c r="I41" s="50"/>
      <c r="J41" s="51"/>
      <c r="K41" s="51"/>
      <c r="L41" s="51"/>
      <c r="P41" s="39"/>
    </row>
    <row r="42" spans="3:19" ht="15.75">
      <c r="C42" s="48"/>
      <c r="D42" s="49"/>
      <c r="E42" s="49"/>
      <c r="F42" s="49"/>
      <c r="G42" s="49"/>
      <c r="H42" s="49"/>
      <c r="I42" s="50"/>
      <c r="J42" s="51"/>
      <c r="K42" s="51"/>
      <c r="L42" s="51"/>
      <c r="P42" s="39"/>
    </row>
    <row r="43" spans="3:19" ht="15.75">
      <c r="C43" s="48"/>
      <c r="D43" s="49"/>
      <c r="E43" s="49"/>
      <c r="F43" s="49"/>
      <c r="G43" s="49"/>
      <c r="H43" s="49"/>
      <c r="I43" s="50"/>
      <c r="J43" s="51"/>
      <c r="K43" s="51"/>
      <c r="L43" s="51"/>
      <c r="P43" s="39"/>
    </row>
    <row r="44" spans="3:19">
      <c r="C44" s="48"/>
      <c r="D44" s="49"/>
      <c r="E44" s="49"/>
      <c r="F44" s="49"/>
      <c r="G44" s="49"/>
      <c r="H44" s="49"/>
      <c r="I44" s="50"/>
      <c r="J44" s="51"/>
      <c r="K44" s="51"/>
      <c r="L44" s="51"/>
    </row>
    <row r="45" spans="3:19">
      <c r="C45" s="48"/>
      <c r="D45" s="49"/>
      <c r="E45" s="49"/>
      <c r="F45" s="49"/>
      <c r="G45" s="49"/>
      <c r="H45" s="49"/>
      <c r="I45" s="50"/>
      <c r="J45" s="51"/>
      <c r="K45" s="51"/>
      <c r="L45" s="51"/>
      <c r="M45"/>
      <c r="N45"/>
      <c r="O45"/>
      <c r="Q45"/>
      <c r="R45"/>
      <c r="S45"/>
    </row>
    <row r="46" spans="3:19">
      <c r="C46" s="48"/>
      <c r="D46" s="49"/>
      <c r="E46" s="49"/>
      <c r="F46" s="49"/>
      <c r="G46" s="49"/>
      <c r="H46" s="49"/>
      <c r="I46" s="50"/>
      <c r="J46" s="51"/>
      <c r="K46" s="51"/>
      <c r="L46" s="51"/>
      <c r="M46"/>
      <c r="N46"/>
      <c r="O46"/>
      <c r="Q46"/>
      <c r="R46"/>
      <c r="S46"/>
    </row>
    <row r="47" spans="3:19">
      <c r="C47" s="48"/>
      <c r="D47" s="49"/>
      <c r="E47" s="49"/>
      <c r="F47" s="49"/>
      <c r="G47" s="49"/>
      <c r="H47" s="49"/>
      <c r="I47" s="50"/>
      <c r="J47" s="51"/>
      <c r="K47" s="51"/>
      <c r="L47" s="51"/>
      <c r="M47"/>
      <c r="N47"/>
      <c r="O47"/>
      <c r="Q47"/>
      <c r="R47"/>
      <c r="S47"/>
    </row>
    <row r="48" spans="3:19">
      <c r="C48" s="48"/>
      <c r="D48" s="49"/>
      <c r="E48" s="49"/>
      <c r="F48" s="49"/>
      <c r="G48" s="49"/>
      <c r="H48" s="49"/>
      <c r="I48" s="50"/>
      <c r="J48" s="51"/>
      <c r="K48" s="51"/>
      <c r="L48" s="51"/>
      <c r="M48"/>
      <c r="N48"/>
      <c r="O48"/>
      <c r="Q48"/>
      <c r="R48"/>
      <c r="S48"/>
    </row>
    <row r="49" spans="3:19">
      <c r="C49" s="48"/>
      <c r="D49" s="49"/>
      <c r="E49" s="49"/>
      <c r="F49" s="49"/>
      <c r="G49" s="49"/>
      <c r="H49" s="49"/>
      <c r="I49" s="50"/>
      <c r="J49" s="51"/>
      <c r="K49" s="51"/>
      <c r="L49" s="51"/>
      <c r="M49"/>
      <c r="N49"/>
      <c r="O49"/>
      <c r="Q49"/>
      <c r="R49"/>
      <c r="S49"/>
    </row>
    <row r="50" spans="3:19">
      <c r="C50" s="48"/>
      <c r="D50" s="49"/>
      <c r="E50" s="49"/>
      <c r="F50" s="49"/>
      <c r="G50" s="49"/>
      <c r="H50" s="49"/>
      <c r="I50" s="50"/>
      <c r="J50" s="51"/>
      <c r="K50" s="51"/>
      <c r="L50" s="51"/>
      <c r="M50"/>
      <c r="N50"/>
      <c r="O50"/>
      <c r="Q50"/>
      <c r="R50"/>
      <c r="S50"/>
    </row>
    <row r="51" spans="3:19">
      <c r="C51" s="48"/>
      <c r="D51" s="49"/>
      <c r="E51" s="49"/>
      <c r="F51" s="49"/>
      <c r="G51" s="49"/>
      <c r="H51" s="49"/>
      <c r="I51" s="50"/>
      <c r="J51" s="51"/>
      <c r="K51" s="51"/>
      <c r="L51" s="51"/>
      <c r="M51"/>
      <c r="N51"/>
      <c r="O51"/>
      <c r="Q51"/>
      <c r="R51"/>
      <c r="S51"/>
    </row>
    <row r="52" spans="3:19">
      <c r="C52" s="48"/>
      <c r="D52" s="49"/>
      <c r="E52" s="49"/>
      <c r="F52" s="49"/>
      <c r="G52" s="49"/>
      <c r="H52" s="49"/>
      <c r="I52" s="50"/>
      <c r="J52" s="51"/>
      <c r="K52" s="51"/>
      <c r="L52" s="51"/>
      <c r="M52"/>
      <c r="N52"/>
      <c r="O52"/>
      <c r="Q52"/>
      <c r="R52"/>
      <c r="S52"/>
    </row>
    <row r="53" spans="3:19">
      <c r="C53" s="48"/>
      <c r="D53" s="49"/>
      <c r="E53" s="49"/>
      <c r="F53" s="49"/>
      <c r="G53" s="49"/>
      <c r="H53" s="49"/>
      <c r="I53" s="50"/>
      <c r="J53" s="51"/>
      <c r="K53" s="51"/>
      <c r="L53" s="51"/>
      <c r="M53"/>
      <c r="N53"/>
      <c r="O53"/>
      <c r="Q53"/>
      <c r="R53"/>
      <c r="S53"/>
    </row>
    <row r="54" spans="3:19">
      <c r="C54" s="48"/>
      <c r="D54" s="49"/>
      <c r="E54" s="49"/>
      <c r="F54" s="49"/>
      <c r="G54" s="49"/>
      <c r="H54" s="49"/>
      <c r="I54" s="50"/>
      <c r="J54" s="51"/>
      <c r="K54" s="51"/>
      <c r="L54" s="51"/>
      <c r="M54"/>
      <c r="N54"/>
      <c r="O54"/>
      <c r="Q54"/>
      <c r="R54"/>
      <c r="S54"/>
    </row>
    <row r="55" spans="3:19">
      <c r="C55" s="48"/>
      <c r="D55" s="49"/>
      <c r="E55" s="49"/>
      <c r="F55" s="49"/>
      <c r="G55" s="49"/>
      <c r="H55" s="49"/>
      <c r="I55" s="50"/>
      <c r="J55" s="51"/>
      <c r="K55" s="51"/>
      <c r="L55" s="51"/>
      <c r="M55"/>
      <c r="N55"/>
      <c r="O55"/>
      <c r="Q55"/>
      <c r="R55"/>
      <c r="S55"/>
    </row>
    <row r="56" spans="3:19">
      <c r="C56" s="48"/>
      <c r="D56" s="49"/>
      <c r="E56" s="49"/>
      <c r="F56" s="49"/>
      <c r="G56" s="49"/>
      <c r="H56" s="49"/>
      <c r="I56" s="50"/>
      <c r="J56" s="51"/>
      <c r="K56" s="51"/>
      <c r="L56" s="51"/>
      <c r="M56"/>
      <c r="N56"/>
      <c r="O56"/>
      <c r="Q56"/>
      <c r="R56"/>
      <c r="S56"/>
    </row>
    <row r="57" spans="3:19">
      <c r="C57" s="48"/>
      <c r="D57" s="49"/>
      <c r="E57" s="49"/>
      <c r="F57" s="49"/>
      <c r="G57" s="49"/>
      <c r="H57" s="49"/>
      <c r="I57" s="50"/>
      <c r="J57" s="51"/>
      <c r="K57" s="51"/>
      <c r="L57" s="51"/>
      <c r="M57"/>
      <c r="N57"/>
      <c r="O57"/>
      <c r="Q57"/>
      <c r="R57"/>
      <c r="S57"/>
    </row>
    <row r="58" spans="3:19">
      <c r="C58" s="48"/>
      <c r="D58" s="49"/>
      <c r="E58" s="49"/>
      <c r="F58" s="49"/>
      <c r="G58" s="49"/>
      <c r="H58" s="49"/>
      <c r="I58" s="50"/>
      <c r="J58" s="51"/>
      <c r="K58" s="51"/>
      <c r="L58" s="51"/>
      <c r="M58"/>
      <c r="N58"/>
      <c r="O58"/>
      <c r="Q58"/>
      <c r="R58"/>
      <c r="S58"/>
    </row>
    <row r="59" spans="3:19">
      <c r="C59" s="48"/>
      <c r="D59" s="49"/>
      <c r="E59" s="49"/>
      <c r="F59" s="49"/>
      <c r="G59" s="49"/>
      <c r="H59" s="49"/>
      <c r="I59" s="50"/>
      <c r="J59" s="51"/>
      <c r="K59" s="51"/>
      <c r="L59" s="51"/>
      <c r="M59"/>
      <c r="N59"/>
      <c r="O59"/>
      <c r="Q59"/>
      <c r="R59"/>
      <c r="S59"/>
    </row>
    <row r="60" spans="3:19">
      <c r="C60" s="48"/>
      <c r="D60" s="49"/>
      <c r="E60" s="49"/>
      <c r="F60" s="49"/>
      <c r="G60" s="49"/>
      <c r="H60" s="49"/>
      <c r="I60" s="50"/>
      <c r="J60" s="51"/>
      <c r="K60" s="51"/>
      <c r="L60" s="51"/>
      <c r="M60"/>
      <c r="N60"/>
      <c r="O60"/>
      <c r="Q60"/>
      <c r="R60"/>
      <c r="S60"/>
    </row>
    <row r="61" spans="3:19">
      <c r="C61" s="48"/>
      <c r="D61" s="49"/>
      <c r="E61" s="49"/>
      <c r="F61" s="49"/>
      <c r="G61" s="49"/>
      <c r="H61" s="49"/>
      <c r="I61" s="50"/>
      <c r="J61" s="51"/>
      <c r="K61" s="51"/>
      <c r="L61" s="51"/>
      <c r="M61"/>
      <c r="N61"/>
      <c r="O61"/>
      <c r="Q61"/>
      <c r="R61"/>
      <c r="S61"/>
    </row>
    <row r="62" spans="3:19">
      <c r="C62" s="48"/>
      <c r="D62" s="49"/>
      <c r="E62" s="49"/>
      <c r="F62" s="49"/>
      <c r="G62" s="49"/>
      <c r="H62" s="49"/>
      <c r="I62" s="50"/>
      <c r="J62" s="51"/>
      <c r="K62" s="51"/>
      <c r="L62" s="51"/>
      <c r="M62"/>
      <c r="N62"/>
      <c r="O62"/>
      <c r="Q62"/>
      <c r="R62"/>
      <c r="S62"/>
    </row>
    <row r="63" spans="3:19">
      <c r="C63" s="48"/>
      <c r="D63" s="49"/>
      <c r="E63" s="49"/>
      <c r="F63" s="49"/>
      <c r="G63" s="49"/>
      <c r="H63" s="49"/>
      <c r="I63" s="50"/>
      <c r="J63" s="51"/>
      <c r="K63" s="51"/>
      <c r="L63" s="51"/>
      <c r="M63"/>
      <c r="N63"/>
      <c r="O63"/>
      <c r="Q63"/>
      <c r="R63"/>
      <c r="S63"/>
    </row>
    <row r="64" spans="3:19">
      <c r="C64" s="48"/>
      <c r="D64" s="49"/>
      <c r="E64" s="49"/>
      <c r="F64" s="49"/>
      <c r="G64" s="49"/>
      <c r="H64" s="49"/>
      <c r="I64" s="50"/>
      <c r="J64" s="51"/>
      <c r="K64" s="51"/>
      <c r="L64" s="51"/>
      <c r="M64"/>
      <c r="N64"/>
      <c r="O64"/>
      <c r="Q64"/>
      <c r="R64"/>
      <c r="S64"/>
    </row>
    <row r="65" spans="3:19">
      <c r="C65" s="48"/>
      <c r="D65" s="49"/>
      <c r="E65" s="49"/>
      <c r="F65" s="49"/>
      <c r="G65" s="49"/>
      <c r="H65" s="49"/>
      <c r="I65" s="50"/>
      <c r="J65" s="51"/>
      <c r="K65" s="51"/>
      <c r="L65" s="51"/>
      <c r="M65"/>
      <c r="N65"/>
      <c r="O65"/>
      <c r="Q65"/>
      <c r="R65"/>
      <c r="S65"/>
    </row>
    <row r="66" spans="3:19">
      <c r="C66" s="48"/>
      <c r="D66" s="49"/>
      <c r="E66" s="49"/>
      <c r="F66" s="49"/>
      <c r="G66" s="49"/>
      <c r="H66" s="49"/>
      <c r="I66" s="50"/>
      <c r="J66" s="51"/>
      <c r="K66" s="51"/>
      <c r="L66" s="51"/>
      <c r="M66"/>
      <c r="N66"/>
      <c r="O66"/>
      <c r="Q66"/>
      <c r="R66"/>
      <c r="S66"/>
    </row>
    <row r="67" spans="3:19">
      <c r="C67" s="48"/>
      <c r="D67" s="49"/>
      <c r="E67" s="49"/>
      <c r="F67" s="49"/>
      <c r="G67" s="49"/>
      <c r="H67" s="49"/>
      <c r="I67" s="50"/>
      <c r="J67" s="51"/>
      <c r="K67" s="51"/>
      <c r="L67" s="51"/>
      <c r="M67"/>
      <c r="N67"/>
      <c r="O67"/>
      <c r="Q67"/>
      <c r="R67"/>
      <c r="S67"/>
    </row>
    <row r="68" spans="3:19">
      <c r="C68" s="48"/>
      <c r="D68" s="49"/>
      <c r="E68" s="49"/>
      <c r="F68" s="49"/>
      <c r="G68" s="49"/>
      <c r="H68" s="49"/>
      <c r="I68" s="50"/>
      <c r="J68" s="51"/>
      <c r="K68" s="51"/>
      <c r="L68" s="51"/>
      <c r="M68"/>
      <c r="N68"/>
      <c r="O68"/>
      <c r="Q68"/>
      <c r="R68"/>
      <c r="S68"/>
    </row>
    <row r="69" spans="3:19">
      <c r="C69" s="48"/>
      <c r="D69" s="49"/>
      <c r="E69" s="49"/>
      <c r="F69" s="49"/>
      <c r="G69" s="49"/>
      <c r="H69" s="49"/>
      <c r="I69" s="50"/>
      <c r="J69" s="51"/>
      <c r="K69" s="51"/>
      <c r="L69" s="51"/>
      <c r="M69"/>
      <c r="N69"/>
      <c r="O69"/>
      <c r="Q69"/>
      <c r="R69"/>
      <c r="S69"/>
    </row>
    <row r="70" spans="3:19">
      <c r="C70" s="48"/>
      <c r="D70" s="49"/>
      <c r="E70" s="49"/>
      <c r="F70" s="49"/>
      <c r="G70" s="49"/>
      <c r="H70" s="49"/>
      <c r="I70" s="50"/>
      <c r="J70" s="51"/>
      <c r="K70" s="51"/>
      <c r="L70" s="51"/>
      <c r="M70"/>
      <c r="N70"/>
      <c r="O70"/>
      <c r="Q70"/>
      <c r="R70"/>
      <c r="S70"/>
    </row>
    <row r="71" spans="3:19">
      <c r="C71" s="48"/>
      <c r="D71" s="49"/>
      <c r="E71" s="49"/>
      <c r="F71" s="49"/>
      <c r="G71" s="49"/>
      <c r="H71" s="49"/>
      <c r="I71" s="50"/>
      <c r="J71" s="51"/>
      <c r="K71" s="51"/>
      <c r="L71" s="51"/>
      <c r="M71"/>
      <c r="N71"/>
      <c r="O71"/>
      <c r="Q71"/>
      <c r="R71"/>
      <c r="S71"/>
    </row>
    <row r="72" spans="3:19">
      <c r="C72" s="48"/>
      <c r="D72" s="49"/>
      <c r="E72" s="49"/>
      <c r="F72" s="49"/>
      <c r="G72" s="49"/>
      <c r="H72" s="49"/>
      <c r="I72" s="50"/>
      <c r="J72" s="51"/>
      <c r="K72" s="51"/>
      <c r="L72" s="51"/>
      <c r="M72"/>
      <c r="N72"/>
      <c r="O72"/>
      <c r="Q72"/>
      <c r="R72"/>
      <c r="S72"/>
    </row>
    <row r="73" spans="3:19">
      <c r="C73" s="48"/>
      <c r="D73" s="49"/>
      <c r="E73" s="49"/>
      <c r="F73" s="49"/>
      <c r="G73" s="49"/>
      <c r="H73" s="49"/>
      <c r="I73" s="50"/>
      <c r="J73" s="51"/>
      <c r="K73" s="51"/>
      <c r="L73" s="51"/>
      <c r="M73"/>
      <c r="N73"/>
      <c r="O73"/>
      <c r="Q73"/>
      <c r="R73"/>
      <c r="S73"/>
    </row>
    <row r="74" spans="3:19">
      <c r="C74" s="48"/>
      <c r="D74" s="49"/>
      <c r="E74" s="49"/>
      <c r="F74" s="49"/>
      <c r="G74" s="49"/>
      <c r="H74" s="49"/>
      <c r="I74" s="50"/>
      <c r="J74" s="51"/>
      <c r="K74" s="51"/>
      <c r="L74" s="51"/>
      <c r="M74"/>
      <c r="N74"/>
      <c r="O74"/>
      <c r="Q74"/>
      <c r="R74"/>
      <c r="S74"/>
    </row>
    <row r="75" spans="3:19">
      <c r="C75" s="48"/>
      <c r="D75" s="49"/>
      <c r="E75" s="49"/>
      <c r="F75" s="49"/>
      <c r="G75" s="49"/>
      <c r="H75" s="49"/>
      <c r="I75" s="50"/>
      <c r="J75" s="51"/>
      <c r="K75" s="51"/>
      <c r="L75" s="51"/>
      <c r="M75"/>
      <c r="N75"/>
      <c r="O75"/>
      <c r="Q75"/>
      <c r="R75"/>
      <c r="S75"/>
    </row>
    <row r="76" spans="3:19">
      <c r="C76" s="48"/>
      <c r="D76" s="49"/>
      <c r="E76" s="49"/>
      <c r="F76" s="49"/>
      <c r="G76" s="49"/>
      <c r="H76" s="49"/>
      <c r="I76" s="50"/>
      <c r="J76" s="51"/>
      <c r="K76" s="51"/>
      <c r="L76" s="51"/>
      <c r="M76"/>
      <c r="N76"/>
      <c r="O76"/>
      <c r="Q76"/>
      <c r="R76"/>
      <c r="S76"/>
    </row>
    <row r="77" spans="3:19">
      <c r="C77" s="48"/>
      <c r="D77" s="49"/>
      <c r="E77" s="49"/>
      <c r="F77" s="49"/>
      <c r="G77" s="49"/>
      <c r="H77" s="49"/>
      <c r="I77" s="50"/>
      <c r="J77" s="51"/>
      <c r="K77" s="51"/>
      <c r="L77" s="51"/>
      <c r="M77"/>
      <c r="N77"/>
      <c r="O77"/>
      <c r="Q77"/>
      <c r="R77"/>
      <c r="S77"/>
    </row>
    <row r="78" spans="3:19">
      <c r="C78" s="48"/>
      <c r="D78" s="49"/>
      <c r="E78" s="49"/>
      <c r="F78" s="49"/>
      <c r="G78" s="49"/>
      <c r="H78" s="49"/>
      <c r="I78" s="50"/>
      <c r="J78" s="51"/>
      <c r="K78" s="51"/>
      <c r="L78" s="51"/>
      <c r="M78"/>
      <c r="N78"/>
      <c r="O78"/>
      <c r="Q78"/>
      <c r="R78"/>
      <c r="S78"/>
    </row>
    <row r="79" spans="3:19">
      <c r="C79" s="48"/>
      <c r="D79" s="49"/>
      <c r="E79" s="49"/>
      <c r="F79" s="49"/>
      <c r="G79" s="49"/>
      <c r="H79" s="49"/>
      <c r="I79" s="50"/>
      <c r="J79" s="51"/>
      <c r="K79" s="51"/>
      <c r="L79" s="51"/>
      <c r="M79"/>
      <c r="N79"/>
      <c r="O79"/>
      <c r="Q79"/>
      <c r="R79"/>
      <c r="S79"/>
    </row>
    <row r="80" spans="3:19">
      <c r="C80" s="48"/>
      <c r="D80" s="49"/>
      <c r="E80" s="49"/>
      <c r="F80" s="49"/>
      <c r="G80" s="49"/>
      <c r="H80" s="49"/>
      <c r="I80" s="50"/>
      <c r="J80" s="51"/>
      <c r="K80" s="51"/>
      <c r="L80" s="51"/>
      <c r="M80"/>
      <c r="N80"/>
      <c r="O80"/>
      <c r="Q80"/>
      <c r="R80"/>
      <c r="S80"/>
    </row>
    <row r="81" spans="3:19">
      <c r="C81" s="48"/>
      <c r="D81" s="49"/>
      <c r="E81" s="49"/>
      <c r="F81" s="49"/>
      <c r="G81" s="49"/>
      <c r="H81" s="49"/>
      <c r="I81" s="50"/>
      <c r="J81" s="51"/>
      <c r="K81" s="51"/>
      <c r="L81" s="51"/>
      <c r="M81"/>
      <c r="N81"/>
      <c r="O81"/>
      <c r="Q81"/>
      <c r="R81"/>
      <c r="S81"/>
    </row>
    <row r="82" spans="3:19">
      <c r="C82" s="48"/>
      <c r="D82" s="49"/>
      <c r="E82" s="49"/>
      <c r="F82" s="49"/>
      <c r="G82" s="49"/>
      <c r="H82" s="49"/>
      <c r="I82" s="50"/>
      <c r="J82" s="51"/>
      <c r="K82" s="51"/>
      <c r="L82" s="51"/>
      <c r="M82"/>
      <c r="N82"/>
      <c r="O82"/>
      <c r="Q82"/>
      <c r="R82"/>
      <c r="S82"/>
    </row>
    <row r="83" spans="3:19">
      <c r="C83" s="48"/>
      <c r="D83" s="49"/>
      <c r="E83" s="49"/>
      <c r="F83" s="49"/>
      <c r="G83" s="49"/>
      <c r="H83" s="49"/>
      <c r="I83" s="50"/>
      <c r="J83" s="51"/>
      <c r="K83" s="51"/>
      <c r="L83" s="51"/>
      <c r="M83"/>
      <c r="N83"/>
      <c r="O83"/>
      <c r="Q83"/>
      <c r="R83"/>
      <c r="S83"/>
    </row>
    <row r="84" spans="3:19">
      <c r="C84" s="48"/>
      <c r="D84" s="49"/>
      <c r="E84" s="49"/>
      <c r="F84" s="49"/>
      <c r="G84" s="49"/>
      <c r="H84" s="49"/>
      <c r="I84" s="50"/>
      <c r="J84" s="51"/>
      <c r="K84" s="51"/>
      <c r="L84" s="51"/>
      <c r="M84"/>
      <c r="N84"/>
      <c r="O84"/>
      <c r="Q84"/>
      <c r="R84"/>
      <c r="S84"/>
    </row>
    <row r="85" spans="3:19">
      <c r="C85" s="48"/>
      <c r="D85" s="49"/>
      <c r="E85" s="49"/>
      <c r="F85" s="49"/>
      <c r="G85" s="49"/>
      <c r="H85" s="49"/>
      <c r="I85" s="50"/>
      <c r="J85" s="51"/>
      <c r="K85" s="51"/>
      <c r="L85" s="51"/>
      <c r="M85"/>
      <c r="N85"/>
      <c r="O85"/>
      <c r="Q85"/>
      <c r="R85"/>
      <c r="S85"/>
    </row>
    <row r="86" spans="3:19">
      <c r="C86" s="48"/>
      <c r="D86" s="49"/>
      <c r="E86" s="49"/>
      <c r="F86" s="49"/>
      <c r="G86" s="49"/>
      <c r="H86" s="49"/>
      <c r="I86" s="50"/>
      <c r="J86" s="51"/>
      <c r="K86" s="51"/>
      <c r="L86" s="51"/>
      <c r="M86"/>
      <c r="N86"/>
      <c r="O86"/>
      <c r="Q86"/>
      <c r="R86"/>
      <c r="S86"/>
    </row>
    <row r="87" spans="3:19">
      <c r="C87" s="48"/>
      <c r="D87" s="49"/>
      <c r="E87" s="49"/>
      <c r="F87" s="49"/>
      <c r="G87" s="49"/>
      <c r="H87" s="49"/>
      <c r="I87" s="50"/>
      <c r="J87" s="51"/>
      <c r="K87" s="51"/>
      <c r="L87" s="51"/>
      <c r="M87"/>
      <c r="N87"/>
      <c r="O87"/>
      <c r="Q87"/>
      <c r="R87"/>
      <c r="S87"/>
    </row>
    <row r="88" spans="3:19">
      <c r="C88" s="48"/>
      <c r="D88" s="49"/>
      <c r="E88" s="49"/>
      <c r="F88" s="49"/>
      <c r="G88" s="49"/>
      <c r="H88" s="49"/>
      <c r="I88" s="50"/>
      <c r="J88" s="51"/>
      <c r="K88" s="51"/>
      <c r="L88" s="51"/>
      <c r="M88"/>
      <c r="N88"/>
      <c r="O88"/>
      <c r="Q88"/>
      <c r="R88"/>
      <c r="S88"/>
    </row>
    <row r="89" spans="3:19">
      <c r="C89" s="48"/>
      <c r="D89" s="49"/>
      <c r="E89" s="49"/>
      <c r="F89" s="49"/>
      <c r="G89" s="49"/>
      <c r="H89" s="49"/>
      <c r="I89" s="50"/>
      <c r="J89" s="51"/>
      <c r="K89" s="51"/>
      <c r="L89" s="51"/>
      <c r="M89"/>
      <c r="N89"/>
      <c r="O89"/>
      <c r="Q89"/>
      <c r="R89"/>
      <c r="S89"/>
    </row>
    <row r="90" spans="3:19">
      <c r="C90" s="48"/>
      <c r="D90" s="49"/>
      <c r="E90" s="49"/>
      <c r="F90" s="49"/>
      <c r="G90" s="49"/>
      <c r="H90" s="49"/>
      <c r="I90" s="50"/>
      <c r="J90" s="51"/>
      <c r="K90" s="51"/>
      <c r="L90" s="51"/>
      <c r="M90"/>
      <c r="N90"/>
      <c r="O90"/>
      <c r="Q90"/>
      <c r="R90"/>
      <c r="S90"/>
    </row>
    <row r="91" spans="3:19">
      <c r="C91" s="48"/>
      <c r="D91" s="49"/>
      <c r="E91" s="49"/>
      <c r="F91" s="49"/>
      <c r="G91" s="49"/>
      <c r="H91" s="49"/>
      <c r="I91" s="50"/>
      <c r="J91" s="51"/>
      <c r="K91" s="51"/>
      <c r="L91" s="51"/>
      <c r="M91"/>
      <c r="N91"/>
      <c r="O91"/>
      <c r="Q91"/>
      <c r="R91"/>
      <c r="S91"/>
    </row>
    <row r="92" spans="3:19">
      <c r="C92" s="48"/>
      <c r="D92" s="49"/>
      <c r="E92" s="49"/>
      <c r="F92" s="49"/>
      <c r="G92" s="49"/>
      <c r="H92" s="49"/>
      <c r="I92" s="50"/>
      <c r="J92" s="51"/>
      <c r="K92" s="51"/>
      <c r="L92" s="51"/>
      <c r="M92"/>
      <c r="N92"/>
      <c r="O92"/>
      <c r="Q92"/>
      <c r="R92"/>
      <c r="S92"/>
    </row>
    <row r="93" spans="3:19">
      <c r="C93" s="48"/>
      <c r="D93" s="49"/>
      <c r="E93" s="49"/>
      <c r="F93" s="49"/>
      <c r="G93" s="49"/>
      <c r="H93" s="49"/>
      <c r="I93" s="50"/>
      <c r="J93" s="51"/>
      <c r="K93" s="51"/>
      <c r="L93" s="51"/>
      <c r="M93"/>
      <c r="N93"/>
      <c r="O93"/>
      <c r="Q93"/>
      <c r="R93"/>
      <c r="S93"/>
    </row>
    <row r="94" spans="3:19">
      <c r="C94" s="48"/>
      <c r="D94" s="49"/>
      <c r="E94" s="49"/>
      <c r="F94" s="49"/>
      <c r="G94" s="49"/>
      <c r="H94" s="49"/>
      <c r="I94" s="50"/>
      <c r="J94" s="51"/>
      <c r="K94" s="51"/>
      <c r="L94" s="51"/>
      <c r="M94"/>
      <c r="N94"/>
      <c r="O94"/>
      <c r="Q94"/>
      <c r="R94"/>
      <c r="S94"/>
    </row>
    <row r="95" spans="3:19">
      <c r="C95" s="48"/>
      <c r="D95" s="49"/>
      <c r="E95" s="49"/>
      <c r="F95" s="49"/>
      <c r="G95" s="49"/>
      <c r="H95" s="49"/>
      <c r="I95" s="50"/>
      <c r="J95" s="51"/>
      <c r="K95" s="51"/>
      <c r="L95" s="51"/>
      <c r="M95"/>
      <c r="N95"/>
      <c r="O95"/>
      <c r="Q95"/>
      <c r="R95"/>
      <c r="S95"/>
    </row>
    <row r="96" spans="3:19">
      <c r="C96" s="48"/>
      <c r="D96" s="49"/>
      <c r="E96" s="49"/>
      <c r="F96" s="49"/>
      <c r="G96" s="49"/>
      <c r="H96" s="49"/>
      <c r="I96" s="50"/>
      <c r="J96" s="51"/>
      <c r="K96" s="51"/>
      <c r="L96" s="51"/>
      <c r="M96"/>
      <c r="N96"/>
      <c r="O96"/>
      <c r="Q96"/>
      <c r="R96"/>
      <c r="S96"/>
    </row>
    <row r="97" spans="3:19">
      <c r="C97" s="48"/>
      <c r="D97" s="49"/>
      <c r="E97" s="49"/>
      <c r="F97" s="49"/>
      <c r="G97" s="49"/>
      <c r="H97" s="49"/>
      <c r="I97" s="50"/>
      <c r="J97" s="51"/>
      <c r="K97" s="51"/>
      <c r="L97" s="51"/>
      <c r="M97"/>
      <c r="N97"/>
      <c r="O97"/>
      <c r="Q97"/>
      <c r="R97"/>
      <c r="S97"/>
    </row>
    <row r="98" spans="3:19">
      <c r="C98" s="48"/>
      <c r="D98" s="49"/>
      <c r="E98" s="49"/>
      <c r="F98" s="49"/>
      <c r="G98" s="49"/>
      <c r="H98" s="49"/>
      <c r="I98" s="50"/>
      <c r="J98" s="51"/>
      <c r="K98" s="51"/>
      <c r="L98" s="51"/>
      <c r="M98"/>
      <c r="N98"/>
      <c r="O98"/>
      <c r="Q98"/>
      <c r="R98"/>
      <c r="S98"/>
    </row>
    <row r="99" spans="3:19">
      <c r="C99" s="48"/>
      <c r="D99" s="49"/>
      <c r="E99" s="49"/>
      <c r="F99" s="49"/>
      <c r="G99" s="49"/>
      <c r="H99" s="49"/>
      <c r="I99" s="50"/>
      <c r="J99" s="51"/>
      <c r="K99" s="51"/>
      <c r="L99" s="51"/>
      <c r="M99"/>
      <c r="N99"/>
      <c r="O99"/>
      <c r="Q99"/>
      <c r="R99"/>
      <c r="S99"/>
    </row>
    <row r="100" spans="3:19">
      <c r="C100" s="48"/>
      <c r="D100" s="49"/>
      <c r="E100" s="49"/>
      <c r="F100" s="49"/>
      <c r="G100" s="49"/>
      <c r="H100" s="49"/>
      <c r="I100" s="50"/>
      <c r="J100" s="51"/>
      <c r="K100" s="51"/>
      <c r="L100" s="51"/>
      <c r="M100"/>
      <c r="N100"/>
      <c r="O100"/>
      <c r="Q100"/>
      <c r="R100"/>
      <c r="S100"/>
    </row>
    <row r="101" spans="3:19">
      <c r="C101" s="48"/>
      <c r="D101" s="49"/>
      <c r="E101" s="49"/>
      <c r="F101" s="49"/>
      <c r="G101" s="49"/>
      <c r="H101" s="49"/>
      <c r="I101" s="50"/>
      <c r="J101" s="51"/>
      <c r="K101" s="51"/>
      <c r="L101" s="51"/>
      <c r="M101"/>
      <c r="N101"/>
      <c r="O101"/>
      <c r="Q101"/>
      <c r="R101"/>
      <c r="S101"/>
    </row>
    <row r="102" spans="3:19">
      <c r="C102" s="48"/>
      <c r="D102" s="49"/>
      <c r="E102" s="49"/>
      <c r="F102" s="49"/>
      <c r="G102" s="49"/>
      <c r="H102" s="49"/>
      <c r="I102" s="50"/>
      <c r="J102" s="51"/>
      <c r="K102" s="51"/>
      <c r="L102" s="51"/>
      <c r="M102"/>
      <c r="N102"/>
      <c r="O102"/>
      <c r="Q102"/>
      <c r="R102"/>
      <c r="S102"/>
    </row>
    <row r="103" spans="3:19">
      <c r="C103" s="48"/>
      <c r="D103" s="49"/>
      <c r="E103" s="49"/>
      <c r="F103" s="49"/>
      <c r="G103" s="49"/>
      <c r="H103" s="49"/>
      <c r="I103" s="50"/>
      <c r="J103" s="51"/>
      <c r="K103" s="51"/>
      <c r="L103" s="51"/>
      <c r="M103"/>
      <c r="N103"/>
      <c r="O103"/>
      <c r="Q103"/>
      <c r="R103"/>
      <c r="S103"/>
    </row>
    <row r="104" spans="3:19">
      <c r="C104" s="48"/>
      <c r="D104" s="49"/>
      <c r="E104" s="49"/>
      <c r="F104" s="49"/>
      <c r="G104" s="49"/>
      <c r="H104" s="49"/>
      <c r="I104" s="50"/>
      <c r="J104" s="51"/>
      <c r="K104" s="51"/>
      <c r="L104" s="51"/>
      <c r="M104"/>
      <c r="N104"/>
      <c r="O104"/>
      <c r="Q104"/>
      <c r="R104"/>
      <c r="S104"/>
    </row>
    <row r="105" spans="3:19">
      <c r="C105" s="48"/>
      <c r="D105" s="49"/>
      <c r="E105" s="49"/>
      <c r="F105" s="49"/>
      <c r="G105" s="49"/>
      <c r="H105" s="49"/>
      <c r="I105" s="50"/>
      <c r="J105" s="51"/>
      <c r="K105" s="51"/>
      <c r="L105" s="51"/>
      <c r="M105"/>
      <c r="N105"/>
      <c r="O105"/>
      <c r="Q105"/>
      <c r="R105"/>
      <c r="S105"/>
    </row>
    <row r="106" spans="3:19">
      <c r="C106" s="48"/>
      <c r="D106" s="49"/>
      <c r="E106" s="49"/>
      <c r="F106" s="49"/>
      <c r="G106" s="49"/>
      <c r="H106" s="49"/>
      <c r="I106" s="50"/>
      <c r="J106" s="51"/>
      <c r="K106" s="51"/>
      <c r="L106" s="51"/>
      <c r="M106"/>
      <c r="N106"/>
      <c r="O106"/>
      <c r="Q106"/>
      <c r="R106"/>
      <c r="S106"/>
    </row>
    <row r="107" spans="3:19">
      <c r="C107" s="48"/>
      <c r="D107" s="49"/>
      <c r="E107" s="49"/>
      <c r="F107" s="49"/>
      <c r="G107" s="49"/>
      <c r="H107" s="49"/>
      <c r="I107" s="50"/>
      <c r="J107" s="51"/>
      <c r="K107" s="51"/>
      <c r="L107" s="51"/>
      <c r="M107"/>
      <c r="N107"/>
      <c r="O107"/>
      <c r="Q107"/>
      <c r="R107"/>
      <c r="S107"/>
    </row>
    <row r="108" spans="3:19">
      <c r="C108" s="48"/>
      <c r="D108" s="49"/>
      <c r="E108" s="49"/>
      <c r="F108" s="49"/>
      <c r="G108" s="49"/>
      <c r="H108" s="49"/>
      <c r="I108" s="50"/>
      <c r="J108" s="51"/>
      <c r="K108" s="51"/>
      <c r="L108" s="51"/>
      <c r="M108"/>
      <c r="N108"/>
      <c r="O108"/>
      <c r="Q108"/>
      <c r="R108"/>
      <c r="S108"/>
    </row>
  </sheetData>
  <sheetProtection password="EFEB" sheet="1" objects="1" scenarios="1"/>
  <mergeCells count="6">
    <mergeCell ref="J4:L4"/>
    <mergeCell ref="D27:K27"/>
    <mergeCell ref="D29:K29"/>
    <mergeCell ref="B2:S2"/>
    <mergeCell ref="M3:O3"/>
    <mergeCell ref="Q3:S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2:AK116"/>
  <sheetViews>
    <sheetView workbookViewId="0">
      <selection activeCell="B34" sqref="B34:E34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38.85546875" customWidth="1"/>
    <col min="9" max="9" width="25.5703125" style="2" customWidth="1"/>
    <col min="10" max="12" width="9.140625" style="3"/>
    <col min="13" max="13" width="15.5703125" style="4" customWidth="1"/>
    <col min="14" max="15" width="14.42578125" style="4" customWidth="1"/>
    <col min="16" max="16" width="17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42578125" customWidth="1"/>
    <col min="255" max="255" width="16.425781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4" width="15.5703125" customWidth="1"/>
    <col min="265" max="265" width="14.42578125" customWidth="1"/>
    <col min="266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42578125" customWidth="1"/>
    <col min="511" max="511" width="16.425781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0" width="15.5703125" customWidth="1"/>
    <col min="521" max="521" width="14.42578125" customWidth="1"/>
    <col min="522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42578125" customWidth="1"/>
    <col min="767" max="767" width="16.425781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6" width="15.5703125" customWidth="1"/>
    <col min="777" max="777" width="14.42578125" customWidth="1"/>
    <col min="778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42578125" customWidth="1"/>
    <col min="1023" max="1023" width="16.425781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2" width="15.5703125" customWidth="1"/>
    <col min="1033" max="1033" width="14.42578125" customWidth="1"/>
    <col min="1034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42578125" customWidth="1"/>
    <col min="1279" max="1279" width="16.425781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8" width="15.5703125" customWidth="1"/>
    <col min="1289" max="1289" width="14.42578125" customWidth="1"/>
    <col min="1290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42578125" customWidth="1"/>
    <col min="1535" max="1535" width="16.425781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4" width="15.5703125" customWidth="1"/>
    <col min="1545" max="1545" width="14.42578125" customWidth="1"/>
    <col min="1546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42578125" customWidth="1"/>
    <col min="1791" max="1791" width="16.425781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0" width="15.5703125" customWidth="1"/>
    <col min="1801" max="1801" width="14.42578125" customWidth="1"/>
    <col min="1802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42578125" customWidth="1"/>
    <col min="2047" max="2047" width="16.425781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6" width="15.5703125" customWidth="1"/>
    <col min="2057" max="2057" width="14.42578125" customWidth="1"/>
    <col min="2058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42578125" customWidth="1"/>
    <col min="2303" max="2303" width="16.425781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2" width="15.5703125" customWidth="1"/>
    <col min="2313" max="2313" width="14.42578125" customWidth="1"/>
    <col min="2314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42578125" customWidth="1"/>
    <col min="2559" max="2559" width="16.425781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8" width="15.5703125" customWidth="1"/>
    <col min="2569" max="2569" width="14.42578125" customWidth="1"/>
    <col min="2570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42578125" customWidth="1"/>
    <col min="2815" max="2815" width="16.425781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4" width="15.5703125" customWidth="1"/>
    <col min="2825" max="2825" width="14.42578125" customWidth="1"/>
    <col min="2826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42578125" customWidth="1"/>
    <col min="3071" max="3071" width="16.425781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0" width="15.5703125" customWidth="1"/>
    <col min="3081" max="3081" width="14.42578125" customWidth="1"/>
    <col min="3082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42578125" customWidth="1"/>
    <col min="3327" max="3327" width="16.425781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6" width="15.5703125" customWidth="1"/>
    <col min="3337" max="3337" width="14.42578125" customWidth="1"/>
    <col min="3338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42578125" customWidth="1"/>
    <col min="3583" max="3583" width="16.425781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2" width="15.5703125" customWidth="1"/>
    <col min="3593" max="3593" width="14.42578125" customWidth="1"/>
    <col min="3594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42578125" customWidth="1"/>
    <col min="3839" max="3839" width="16.425781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8" width="15.5703125" customWidth="1"/>
    <col min="3849" max="3849" width="14.42578125" customWidth="1"/>
    <col min="3850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42578125" customWidth="1"/>
    <col min="4095" max="4095" width="16.425781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4" width="15.5703125" customWidth="1"/>
    <col min="4105" max="4105" width="14.42578125" customWidth="1"/>
    <col min="4106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42578125" customWidth="1"/>
    <col min="4351" max="4351" width="16.425781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0" width="15.5703125" customWidth="1"/>
    <col min="4361" max="4361" width="14.42578125" customWidth="1"/>
    <col min="4362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42578125" customWidth="1"/>
    <col min="4607" max="4607" width="16.425781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6" width="15.5703125" customWidth="1"/>
    <col min="4617" max="4617" width="14.42578125" customWidth="1"/>
    <col min="4618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42578125" customWidth="1"/>
    <col min="4863" max="4863" width="16.425781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2" width="15.5703125" customWidth="1"/>
    <col min="4873" max="4873" width="14.42578125" customWidth="1"/>
    <col min="4874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42578125" customWidth="1"/>
    <col min="5119" max="5119" width="16.425781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8" width="15.5703125" customWidth="1"/>
    <col min="5129" max="5129" width="14.42578125" customWidth="1"/>
    <col min="5130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42578125" customWidth="1"/>
    <col min="5375" max="5375" width="16.425781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4" width="15.5703125" customWidth="1"/>
    <col min="5385" max="5385" width="14.42578125" customWidth="1"/>
    <col min="5386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42578125" customWidth="1"/>
    <col min="5631" max="5631" width="16.425781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0" width="15.5703125" customWidth="1"/>
    <col min="5641" max="5641" width="14.42578125" customWidth="1"/>
    <col min="5642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42578125" customWidth="1"/>
    <col min="5887" max="5887" width="16.425781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6" width="15.5703125" customWidth="1"/>
    <col min="5897" max="5897" width="14.42578125" customWidth="1"/>
    <col min="5898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42578125" customWidth="1"/>
    <col min="6143" max="6143" width="16.425781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2" width="15.5703125" customWidth="1"/>
    <col min="6153" max="6153" width="14.42578125" customWidth="1"/>
    <col min="6154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42578125" customWidth="1"/>
    <col min="6399" max="6399" width="16.425781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8" width="15.5703125" customWidth="1"/>
    <col min="6409" max="6409" width="14.42578125" customWidth="1"/>
    <col min="6410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42578125" customWidth="1"/>
    <col min="6655" max="6655" width="16.425781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4" width="15.5703125" customWidth="1"/>
    <col min="6665" max="6665" width="14.42578125" customWidth="1"/>
    <col min="6666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42578125" customWidth="1"/>
    <col min="6911" max="6911" width="16.425781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0" width="15.5703125" customWidth="1"/>
    <col min="6921" max="6921" width="14.42578125" customWidth="1"/>
    <col min="6922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42578125" customWidth="1"/>
    <col min="7167" max="7167" width="16.425781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6" width="15.5703125" customWidth="1"/>
    <col min="7177" max="7177" width="14.42578125" customWidth="1"/>
    <col min="7178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42578125" customWidth="1"/>
    <col min="7423" max="7423" width="16.425781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2" width="15.5703125" customWidth="1"/>
    <col min="7433" max="7433" width="14.42578125" customWidth="1"/>
    <col min="7434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42578125" customWidth="1"/>
    <col min="7679" max="7679" width="16.425781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8" width="15.5703125" customWidth="1"/>
    <col min="7689" max="7689" width="14.42578125" customWidth="1"/>
    <col min="7690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42578125" customWidth="1"/>
    <col min="7935" max="7935" width="16.425781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4" width="15.5703125" customWidth="1"/>
    <col min="7945" max="7945" width="14.42578125" customWidth="1"/>
    <col min="7946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42578125" customWidth="1"/>
    <col min="8191" max="8191" width="16.425781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0" width="15.5703125" customWidth="1"/>
    <col min="8201" max="8201" width="14.42578125" customWidth="1"/>
    <col min="8202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42578125" customWidth="1"/>
    <col min="8447" max="8447" width="16.425781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6" width="15.5703125" customWidth="1"/>
    <col min="8457" max="8457" width="14.42578125" customWidth="1"/>
    <col min="8458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42578125" customWidth="1"/>
    <col min="8703" max="8703" width="16.425781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2" width="15.5703125" customWidth="1"/>
    <col min="8713" max="8713" width="14.42578125" customWidth="1"/>
    <col min="8714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42578125" customWidth="1"/>
    <col min="8959" max="8959" width="16.425781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8" width="15.5703125" customWidth="1"/>
    <col min="8969" max="8969" width="14.42578125" customWidth="1"/>
    <col min="8970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42578125" customWidth="1"/>
    <col min="9215" max="9215" width="16.425781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4" width="15.5703125" customWidth="1"/>
    <col min="9225" max="9225" width="14.42578125" customWidth="1"/>
    <col min="9226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42578125" customWidth="1"/>
    <col min="9471" max="9471" width="16.425781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0" width="15.5703125" customWidth="1"/>
    <col min="9481" max="9481" width="14.42578125" customWidth="1"/>
    <col min="9482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42578125" customWidth="1"/>
    <col min="9727" max="9727" width="16.425781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6" width="15.5703125" customWidth="1"/>
    <col min="9737" max="9737" width="14.42578125" customWidth="1"/>
    <col min="9738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42578125" customWidth="1"/>
    <col min="9983" max="9983" width="16.425781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2" width="15.5703125" customWidth="1"/>
    <col min="9993" max="9993" width="14.42578125" customWidth="1"/>
    <col min="9994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42578125" customWidth="1"/>
    <col min="10239" max="10239" width="16.425781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8" width="15.5703125" customWidth="1"/>
    <col min="10249" max="10249" width="14.42578125" customWidth="1"/>
    <col min="10250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42578125" customWidth="1"/>
    <col min="10495" max="10495" width="16.425781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4" width="15.5703125" customWidth="1"/>
    <col min="10505" max="10505" width="14.42578125" customWidth="1"/>
    <col min="10506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42578125" customWidth="1"/>
    <col min="10751" max="10751" width="16.425781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0" width="15.5703125" customWidth="1"/>
    <col min="10761" max="10761" width="14.42578125" customWidth="1"/>
    <col min="10762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42578125" customWidth="1"/>
    <col min="11007" max="11007" width="16.425781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6" width="15.5703125" customWidth="1"/>
    <col min="11017" max="11017" width="14.42578125" customWidth="1"/>
    <col min="11018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42578125" customWidth="1"/>
    <col min="11263" max="11263" width="16.425781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2" width="15.5703125" customWidth="1"/>
    <col min="11273" max="11273" width="14.42578125" customWidth="1"/>
    <col min="11274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42578125" customWidth="1"/>
    <col min="11519" max="11519" width="16.425781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8" width="15.5703125" customWidth="1"/>
    <col min="11529" max="11529" width="14.42578125" customWidth="1"/>
    <col min="11530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42578125" customWidth="1"/>
    <col min="11775" max="11775" width="16.425781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4" width="15.5703125" customWidth="1"/>
    <col min="11785" max="11785" width="14.42578125" customWidth="1"/>
    <col min="11786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42578125" customWidth="1"/>
    <col min="12031" max="12031" width="16.425781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0" width="15.5703125" customWidth="1"/>
    <col min="12041" max="12041" width="14.42578125" customWidth="1"/>
    <col min="12042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42578125" customWidth="1"/>
    <col min="12287" max="12287" width="16.425781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6" width="15.5703125" customWidth="1"/>
    <col min="12297" max="12297" width="14.42578125" customWidth="1"/>
    <col min="12298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42578125" customWidth="1"/>
    <col min="12543" max="12543" width="16.425781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2" width="15.5703125" customWidth="1"/>
    <col min="12553" max="12553" width="14.42578125" customWidth="1"/>
    <col min="12554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42578125" customWidth="1"/>
    <col min="12799" max="12799" width="16.425781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8" width="15.5703125" customWidth="1"/>
    <col min="12809" max="12809" width="14.42578125" customWidth="1"/>
    <col min="12810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42578125" customWidth="1"/>
    <col min="13055" max="13055" width="16.425781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4" width="15.5703125" customWidth="1"/>
    <col min="13065" max="13065" width="14.42578125" customWidth="1"/>
    <col min="13066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42578125" customWidth="1"/>
    <col min="13311" max="13311" width="16.425781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0" width="15.5703125" customWidth="1"/>
    <col min="13321" max="13321" width="14.42578125" customWidth="1"/>
    <col min="13322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42578125" customWidth="1"/>
    <col min="13567" max="13567" width="16.425781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6" width="15.5703125" customWidth="1"/>
    <col min="13577" max="13577" width="14.42578125" customWidth="1"/>
    <col min="13578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42578125" customWidth="1"/>
    <col min="13823" max="13823" width="16.425781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2" width="15.5703125" customWidth="1"/>
    <col min="13833" max="13833" width="14.42578125" customWidth="1"/>
    <col min="13834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42578125" customWidth="1"/>
    <col min="14079" max="14079" width="16.425781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8" width="15.5703125" customWidth="1"/>
    <col min="14089" max="14089" width="14.42578125" customWidth="1"/>
    <col min="14090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42578125" customWidth="1"/>
    <col min="14335" max="14335" width="16.425781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4" width="15.5703125" customWidth="1"/>
    <col min="14345" max="14345" width="14.42578125" customWidth="1"/>
    <col min="14346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42578125" customWidth="1"/>
    <col min="14591" max="14591" width="16.425781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0" width="15.5703125" customWidth="1"/>
    <col min="14601" max="14601" width="14.42578125" customWidth="1"/>
    <col min="14602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42578125" customWidth="1"/>
    <col min="14847" max="14847" width="16.425781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6" width="15.5703125" customWidth="1"/>
    <col min="14857" max="14857" width="14.42578125" customWidth="1"/>
    <col min="14858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42578125" customWidth="1"/>
    <col min="15103" max="15103" width="16.425781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2" width="15.5703125" customWidth="1"/>
    <col min="15113" max="15113" width="14.42578125" customWidth="1"/>
    <col min="15114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42578125" customWidth="1"/>
    <col min="15359" max="15359" width="16.425781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8" width="15.5703125" customWidth="1"/>
    <col min="15369" max="15369" width="14.42578125" customWidth="1"/>
    <col min="15370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42578125" customWidth="1"/>
    <col min="15615" max="15615" width="16.425781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4" width="15.5703125" customWidth="1"/>
    <col min="15625" max="15625" width="14.42578125" customWidth="1"/>
    <col min="15626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42578125" customWidth="1"/>
    <col min="15871" max="15871" width="16.425781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0" width="15.5703125" customWidth="1"/>
    <col min="15881" max="15881" width="14.42578125" customWidth="1"/>
    <col min="15882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42578125" customWidth="1"/>
    <col min="16127" max="16127" width="16.425781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6" width="15.5703125" customWidth="1"/>
    <col min="16137" max="16137" width="14.42578125" customWidth="1"/>
    <col min="16138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2" spans="2:37" ht="18.75" thickBot="1">
      <c r="B2" s="357" t="s">
        <v>169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2:37" s="7" customFormat="1" ht="32.25" customHeight="1" thickBo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366" t="s">
        <v>26</v>
      </c>
      <c r="N3" s="367"/>
      <c r="O3" s="368"/>
      <c r="P3" s="275" t="s">
        <v>33</v>
      </c>
      <c r="Q3" s="367" t="s">
        <v>34</v>
      </c>
      <c r="R3" s="367"/>
      <c r="S3" s="36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2:37" ht="26.25" thickBot="1">
      <c r="B4" s="267" t="s">
        <v>0</v>
      </c>
      <c r="C4" s="265" t="s">
        <v>165</v>
      </c>
      <c r="D4" s="288" t="s">
        <v>1</v>
      </c>
      <c r="E4" s="267" t="s">
        <v>481</v>
      </c>
      <c r="F4" s="267" t="s">
        <v>115</v>
      </c>
      <c r="G4" s="268" t="s">
        <v>164</v>
      </c>
      <c r="H4" s="267" t="s">
        <v>116</v>
      </c>
      <c r="I4" s="289" t="s">
        <v>2</v>
      </c>
      <c r="J4" s="369" t="s">
        <v>3</v>
      </c>
      <c r="K4" s="370"/>
      <c r="L4" s="371"/>
      <c r="M4" s="269" t="s">
        <v>27</v>
      </c>
      <c r="N4" s="270" t="s">
        <v>28</v>
      </c>
      <c r="O4" s="271" t="s">
        <v>29</v>
      </c>
      <c r="P4" s="271" t="s">
        <v>27</v>
      </c>
      <c r="Q4" s="272" t="s">
        <v>4</v>
      </c>
      <c r="R4" s="273" t="s">
        <v>5</v>
      </c>
      <c r="S4" s="274" t="s">
        <v>6</v>
      </c>
    </row>
    <row r="5" spans="2:37" s="16" customFormat="1" ht="12.75">
      <c r="B5" s="106">
        <v>1</v>
      </c>
      <c r="C5" s="188" t="s">
        <v>363</v>
      </c>
      <c r="D5" s="111" t="s">
        <v>107</v>
      </c>
      <c r="E5" s="252" t="s">
        <v>483</v>
      </c>
      <c r="F5" s="111" t="s">
        <v>202</v>
      </c>
      <c r="G5" s="109" t="s">
        <v>243</v>
      </c>
      <c r="H5" s="111" t="str">
        <f>UPPER(G5)</f>
        <v>REUNIÃO DO CONSELHO DIRETOR.</v>
      </c>
      <c r="I5" s="109" t="s">
        <v>265</v>
      </c>
      <c r="J5" s="110">
        <v>43525</v>
      </c>
      <c r="K5" s="111">
        <v>18</v>
      </c>
      <c r="L5" s="112">
        <v>18</v>
      </c>
      <c r="M5" s="124">
        <v>0</v>
      </c>
      <c r="N5" s="124">
        <v>0</v>
      </c>
      <c r="O5" s="124"/>
      <c r="P5" s="118">
        <v>0</v>
      </c>
      <c r="Q5" s="113">
        <f>483.05+756.98</f>
        <v>1240.03</v>
      </c>
      <c r="R5" s="114">
        <v>0</v>
      </c>
      <c r="S5" s="115">
        <f t="shared" ref="S5:S32" si="0">M5+N5+O5+P5+Q5+R5</f>
        <v>1240.03</v>
      </c>
      <c r="T5" s="15"/>
      <c r="U5" s="15"/>
      <c r="V5" s="15"/>
      <c r="W5" s="15"/>
    </row>
    <row r="6" spans="2:37" s="16" customFormat="1" ht="15" customHeight="1">
      <c r="B6" s="94">
        <v>2</v>
      </c>
      <c r="C6" s="190" t="s">
        <v>178</v>
      </c>
      <c r="D6" s="10" t="s">
        <v>57</v>
      </c>
      <c r="E6" s="230" t="s">
        <v>482</v>
      </c>
      <c r="F6" s="10" t="s">
        <v>202</v>
      </c>
      <c r="G6" s="9" t="s">
        <v>243</v>
      </c>
      <c r="H6" s="10" t="str">
        <f t="shared" ref="H6:H32" si="1">UPPER(G6)</f>
        <v>REUNIÃO DO CONSELHO DIRETOR.</v>
      </c>
      <c r="I6" s="9" t="s">
        <v>56</v>
      </c>
      <c r="J6" s="17">
        <v>43525</v>
      </c>
      <c r="K6" s="10">
        <v>18</v>
      </c>
      <c r="L6" s="11">
        <v>18</v>
      </c>
      <c r="M6" s="57">
        <v>0</v>
      </c>
      <c r="N6" s="57">
        <v>0</v>
      </c>
      <c r="O6" s="57"/>
      <c r="P6" s="54">
        <v>0</v>
      </c>
      <c r="Q6" s="13">
        <v>1575.37</v>
      </c>
      <c r="R6" s="14">
        <v>0</v>
      </c>
      <c r="S6" s="93">
        <f t="shared" si="0"/>
        <v>1575.37</v>
      </c>
      <c r="T6" s="15"/>
      <c r="U6" s="15"/>
      <c r="V6" s="15"/>
      <c r="W6" s="15"/>
    </row>
    <row r="7" spans="2:37" s="16" customFormat="1" ht="12.75">
      <c r="B7" s="94">
        <v>3</v>
      </c>
      <c r="C7" s="190" t="s">
        <v>364</v>
      </c>
      <c r="D7" s="10" t="s">
        <v>61</v>
      </c>
      <c r="E7" s="253" t="s">
        <v>495</v>
      </c>
      <c r="F7" s="10" t="s">
        <v>119</v>
      </c>
      <c r="G7" s="193" t="s">
        <v>244</v>
      </c>
      <c r="H7" s="10" t="str">
        <f t="shared" si="1"/>
        <v>REUNIÃO DO CONSELHO FISCAL</v>
      </c>
      <c r="I7" s="9" t="s">
        <v>56</v>
      </c>
      <c r="J7" s="17">
        <v>43526</v>
      </c>
      <c r="K7" s="10">
        <v>17</v>
      </c>
      <c r="L7" s="11">
        <v>18</v>
      </c>
      <c r="M7" s="57">
        <v>0</v>
      </c>
      <c r="N7" s="57">
        <v>0</v>
      </c>
      <c r="O7" s="57"/>
      <c r="P7" s="54">
        <v>0</v>
      </c>
      <c r="Q7" s="13">
        <v>1269.3699999999999</v>
      </c>
      <c r="R7" s="14">
        <v>236.5</v>
      </c>
      <c r="S7" s="93">
        <f t="shared" si="0"/>
        <v>1505.87</v>
      </c>
      <c r="T7" s="15"/>
      <c r="U7" s="15"/>
      <c r="V7" s="15"/>
      <c r="W7" s="15"/>
    </row>
    <row r="8" spans="2:37" s="16" customFormat="1" ht="12.75">
      <c r="B8" s="94">
        <v>4</v>
      </c>
      <c r="C8" s="190" t="s">
        <v>179</v>
      </c>
      <c r="D8" s="10" t="s">
        <v>59</v>
      </c>
      <c r="E8" s="230" t="s">
        <v>487</v>
      </c>
      <c r="F8" s="10" t="s">
        <v>119</v>
      </c>
      <c r="G8" s="193" t="s">
        <v>245</v>
      </c>
      <c r="H8" s="10" t="str">
        <f t="shared" si="1"/>
        <v>REUNIÃO DO CONSELHO FISCAL.</v>
      </c>
      <c r="I8" s="9" t="s">
        <v>56</v>
      </c>
      <c r="J8" s="17">
        <v>43527</v>
      </c>
      <c r="K8" s="10">
        <v>17</v>
      </c>
      <c r="L8" s="11">
        <v>18</v>
      </c>
      <c r="M8" s="57">
        <v>0</v>
      </c>
      <c r="N8" s="57">
        <v>97</v>
      </c>
      <c r="O8" s="57"/>
      <c r="P8" s="54">
        <v>36.4</v>
      </c>
      <c r="Q8" s="13">
        <v>1269.3699999999999</v>
      </c>
      <c r="R8" s="14">
        <f>236.5+74.15</f>
        <v>310.64999999999998</v>
      </c>
      <c r="S8" s="93">
        <f t="shared" si="0"/>
        <v>1713.42</v>
      </c>
      <c r="T8" s="15"/>
      <c r="U8" s="15"/>
      <c r="V8" s="15"/>
      <c r="W8" s="15"/>
    </row>
    <row r="9" spans="2:37" s="16" customFormat="1" ht="12.75">
      <c r="B9" s="94">
        <v>5</v>
      </c>
      <c r="C9" s="190" t="s">
        <v>180</v>
      </c>
      <c r="D9" s="10" t="s">
        <v>60</v>
      </c>
      <c r="E9" s="230" t="s">
        <v>488</v>
      </c>
      <c r="F9" s="10" t="s">
        <v>119</v>
      </c>
      <c r="G9" s="212" t="s">
        <v>347</v>
      </c>
      <c r="H9" s="10" t="str">
        <f t="shared" si="1"/>
        <v>SEM ASSINATURA</v>
      </c>
      <c r="I9" s="9" t="s">
        <v>56</v>
      </c>
      <c r="J9" s="17">
        <v>43528</v>
      </c>
      <c r="K9" s="10">
        <v>17</v>
      </c>
      <c r="L9" s="11">
        <v>18</v>
      </c>
      <c r="M9" s="57">
        <v>0</v>
      </c>
      <c r="N9" s="57">
        <v>131.80000000000001</v>
      </c>
      <c r="O9" s="57"/>
      <c r="P9" s="54">
        <v>71.069999999999993</v>
      </c>
      <c r="Q9" s="13">
        <v>1269.3699999999999</v>
      </c>
      <c r="R9" s="14">
        <f>236.5+74.15</f>
        <v>310.64999999999998</v>
      </c>
      <c r="S9" s="93">
        <f t="shared" si="0"/>
        <v>1782.8899999999999</v>
      </c>
      <c r="T9" s="15"/>
      <c r="U9" s="15"/>
      <c r="V9" s="15"/>
      <c r="W9" s="15"/>
    </row>
    <row r="10" spans="2:37" s="16" customFormat="1" ht="27.75" customHeight="1">
      <c r="B10" s="94">
        <v>6</v>
      </c>
      <c r="C10" s="189" t="s">
        <v>181</v>
      </c>
      <c r="D10" s="10" t="s">
        <v>203</v>
      </c>
      <c r="E10" s="230" t="s">
        <v>484</v>
      </c>
      <c r="F10" s="164" t="s">
        <v>128</v>
      </c>
      <c r="G10" s="202" t="s">
        <v>246</v>
      </c>
      <c r="H10" s="9" t="str">
        <f t="shared" si="1"/>
        <v>REUNIÃO COM O SECRETÁRIO-EXECUTIVO LUIZ ANTONIO TOZI.</v>
      </c>
      <c r="I10" s="9" t="s">
        <v>266</v>
      </c>
      <c r="J10" s="17">
        <v>43528</v>
      </c>
      <c r="K10" s="10">
        <v>13</v>
      </c>
      <c r="L10" s="11">
        <v>13</v>
      </c>
      <c r="M10" s="201">
        <v>0</v>
      </c>
      <c r="N10" s="201">
        <v>0</v>
      </c>
      <c r="O10" s="57"/>
      <c r="P10" s="54">
        <v>0</v>
      </c>
      <c r="Q10" s="13">
        <f>1086.37</f>
        <v>1086.3699999999999</v>
      </c>
      <c r="R10" s="14">
        <v>0</v>
      </c>
      <c r="S10" s="93">
        <f t="shared" si="0"/>
        <v>1086.3699999999999</v>
      </c>
      <c r="T10" s="15"/>
      <c r="U10" s="15"/>
      <c r="V10" s="15"/>
      <c r="W10" s="15"/>
    </row>
    <row r="11" spans="2:37" s="16" customFormat="1" ht="25.5" customHeight="1">
      <c r="B11" s="94">
        <v>7</v>
      </c>
      <c r="C11" s="189" t="s">
        <v>182</v>
      </c>
      <c r="D11" s="10" t="s">
        <v>204</v>
      </c>
      <c r="E11" s="230" t="s">
        <v>494</v>
      </c>
      <c r="F11" s="164" t="s">
        <v>205</v>
      </c>
      <c r="G11" s="194" t="s">
        <v>247</v>
      </c>
      <c r="H11" s="9" t="str">
        <f t="shared" si="1"/>
        <v>AUDIÊNCIA NO TRIBUNAL DE CONTAS DA UNIÃO (TCU),</v>
      </c>
      <c r="I11" s="9" t="s">
        <v>266</v>
      </c>
      <c r="J11" s="17">
        <v>43529</v>
      </c>
      <c r="K11" s="10">
        <v>14</v>
      </c>
      <c r="L11" s="11">
        <v>14</v>
      </c>
      <c r="M11" s="57">
        <v>0</v>
      </c>
      <c r="N11" s="57">
        <v>0</v>
      </c>
      <c r="O11" s="57"/>
      <c r="P11" s="54">
        <f>46.5+49.69</f>
        <v>96.19</v>
      </c>
      <c r="Q11" s="13">
        <v>1241.3699999999999</v>
      </c>
      <c r="R11" s="14">
        <v>0</v>
      </c>
      <c r="S11" s="93">
        <f t="shared" si="0"/>
        <v>1337.56</v>
      </c>
      <c r="T11" s="15"/>
      <c r="U11" s="15"/>
      <c r="V11" s="15"/>
      <c r="W11" s="15"/>
    </row>
    <row r="12" spans="2:37" s="16" customFormat="1" ht="22.5">
      <c r="B12" s="94">
        <v>8</v>
      </c>
      <c r="C12" s="189" t="s">
        <v>183</v>
      </c>
      <c r="D12" s="10" t="s">
        <v>206</v>
      </c>
      <c r="E12" s="230" t="s">
        <v>510</v>
      </c>
      <c r="F12" s="164" t="s">
        <v>207</v>
      </c>
      <c r="G12" s="164" t="s">
        <v>247</v>
      </c>
      <c r="H12" s="9" t="str">
        <f t="shared" si="1"/>
        <v>AUDIÊNCIA NO TRIBUNAL DE CONTAS DA UNIÃO (TCU),</v>
      </c>
      <c r="I12" s="9" t="s">
        <v>266</v>
      </c>
      <c r="J12" s="17">
        <v>43529</v>
      </c>
      <c r="K12" s="10">
        <v>14</v>
      </c>
      <c r="L12" s="11">
        <v>14</v>
      </c>
      <c r="M12" s="57">
        <v>0</v>
      </c>
      <c r="N12" s="57">
        <v>36.31</v>
      </c>
      <c r="O12" s="57"/>
      <c r="P12" s="54">
        <f>76.42+47.87+83</f>
        <v>207.29</v>
      </c>
      <c r="Q12" s="13">
        <v>1241.3699999999999</v>
      </c>
      <c r="R12" s="14">
        <v>0</v>
      </c>
      <c r="S12" s="93">
        <f t="shared" si="0"/>
        <v>1484.9699999999998</v>
      </c>
      <c r="T12" s="15"/>
      <c r="U12" s="15"/>
      <c r="V12" s="15"/>
      <c r="W12" s="15"/>
    </row>
    <row r="13" spans="2:37" s="16" customFormat="1" ht="33.75">
      <c r="B13" s="94">
        <v>9</v>
      </c>
      <c r="C13" s="189" t="s">
        <v>184</v>
      </c>
      <c r="D13" s="10" t="s">
        <v>208</v>
      </c>
      <c r="E13" s="230" t="s">
        <v>511</v>
      </c>
      <c r="F13" s="164" t="s">
        <v>209</v>
      </c>
      <c r="G13" s="194" t="s">
        <v>248</v>
      </c>
      <c r="H13" s="9" t="str">
        <f t="shared" si="1"/>
        <v>MINISTRAR TREINAMENTO AGHUSE - HOSPITAL EXÉRCITO - MÓDULO SESSÕES TERAPÊUTICAS - QUIMIOTERAPIA</v>
      </c>
      <c r="I13" s="10" t="s">
        <v>65</v>
      </c>
      <c r="J13" s="17">
        <v>43525</v>
      </c>
      <c r="K13" s="10">
        <v>13</v>
      </c>
      <c r="L13" s="197">
        <v>15</v>
      </c>
      <c r="M13" s="57">
        <v>74.97</v>
      </c>
      <c r="N13" s="57">
        <v>0</v>
      </c>
      <c r="O13" s="57"/>
      <c r="P13" s="54">
        <v>0</v>
      </c>
      <c r="Q13" s="13">
        <v>1452.37</v>
      </c>
      <c r="R13" s="14">
        <f>556.6+135.3</f>
        <v>691.90000000000009</v>
      </c>
      <c r="S13" s="93">
        <f t="shared" si="0"/>
        <v>2219.2399999999998</v>
      </c>
      <c r="T13" s="15"/>
      <c r="U13" s="15"/>
      <c r="V13" s="15"/>
      <c r="W13" s="15"/>
    </row>
    <row r="14" spans="2:37" s="16" customFormat="1" ht="56.25" customHeight="1">
      <c r="B14" s="94">
        <v>10</v>
      </c>
      <c r="C14" s="189" t="s">
        <v>185</v>
      </c>
      <c r="D14" s="10" t="s">
        <v>210</v>
      </c>
      <c r="E14" s="230" t="s">
        <v>519</v>
      </c>
      <c r="F14" s="164" t="s">
        <v>211</v>
      </c>
      <c r="G14" s="194" t="s">
        <v>249</v>
      </c>
      <c r="H14" s="9" t="str">
        <f t="shared" si="1"/>
        <v>CURSO DE APERFEIÇOAMENTO: IMMUNOHISTOCHEMISTRY, MOLECULAR PATHOLOGY AND HISTOPATHOLOGY FOR THE DIAGNOSIS OF INFECTIOUS DISEASES, NA MODALIDADE PRESENCIAL. </v>
      </c>
      <c r="I14" s="10" t="s">
        <v>267</v>
      </c>
      <c r="J14" s="17">
        <v>43525</v>
      </c>
      <c r="K14" s="10">
        <v>11</v>
      </c>
      <c r="L14" s="11">
        <v>15</v>
      </c>
      <c r="M14" s="57">
        <v>271.54000000000002</v>
      </c>
      <c r="N14" s="57">
        <v>138.1</v>
      </c>
      <c r="O14" s="57"/>
      <c r="P14" s="54">
        <v>0</v>
      </c>
      <c r="Q14" s="13">
        <v>2341.83</v>
      </c>
      <c r="R14" s="14">
        <f>1161.48+311.4</f>
        <v>1472.88</v>
      </c>
      <c r="S14" s="93">
        <f t="shared" si="0"/>
        <v>4224.3500000000004</v>
      </c>
      <c r="T14" s="15"/>
      <c r="U14" s="15"/>
      <c r="V14" s="15"/>
      <c r="W14" s="15"/>
    </row>
    <row r="15" spans="2:37" s="16" customFormat="1" ht="22.5">
      <c r="B15" s="94">
        <v>11</v>
      </c>
      <c r="C15" s="189" t="s">
        <v>186</v>
      </c>
      <c r="D15" s="10" t="s">
        <v>212</v>
      </c>
      <c r="E15" s="230" t="s">
        <v>520</v>
      </c>
      <c r="F15" s="164" t="s">
        <v>213</v>
      </c>
      <c r="G15" s="195" t="s">
        <v>250</v>
      </c>
      <c r="H15" s="9" t="str">
        <f t="shared" si="1"/>
        <v>PARTICIPAÇÃO NO 14º CONGRESSO BRASILEIRO DE PREGOEIROS</v>
      </c>
      <c r="I15" s="10" t="s">
        <v>268</v>
      </c>
      <c r="J15" s="17">
        <v>43525</v>
      </c>
      <c r="K15" s="10">
        <v>18</v>
      </c>
      <c r="L15" s="11">
        <v>22</v>
      </c>
      <c r="M15" s="57">
        <v>149.72999999999999</v>
      </c>
      <c r="N15" s="57">
        <v>48</v>
      </c>
      <c r="O15" s="57"/>
      <c r="P15" s="54">
        <v>0</v>
      </c>
      <c r="Q15" s="13">
        <f>678.98+762.85</f>
        <v>1441.83</v>
      </c>
      <c r="R15" s="14">
        <v>1020</v>
      </c>
      <c r="S15" s="93">
        <f t="shared" si="0"/>
        <v>2659.56</v>
      </c>
      <c r="T15" s="15"/>
      <c r="U15" s="15"/>
      <c r="V15" s="15"/>
      <c r="W15" s="15"/>
    </row>
    <row r="16" spans="2:37" s="16" customFormat="1" ht="25.5" customHeight="1">
      <c r="B16" s="94">
        <v>12</v>
      </c>
      <c r="C16" s="189" t="s">
        <v>187</v>
      </c>
      <c r="D16" s="10" t="s">
        <v>99</v>
      </c>
      <c r="E16" s="230" t="s">
        <v>499</v>
      </c>
      <c r="F16" s="164" t="s">
        <v>214</v>
      </c>
      <c r="G16" s="194" t="s">
        <v>251</v>
      </c>
      <c r="H16" s="9" t="str">
        <f t="shared" si="1"/>
        <v>MINISTRAR TREINAMENTO AGHUSE -  MÓDULO INTERNAÇÃO E EMERGÊNCIA - MÉDICO - SESAB</v>
      </c>
      <c r="I16" s="10" t="s">
        <v>72</v>
      </c>
      <c r="J16" s="17">
        <v>43525</v>
      </c>
      <c r="K16" s="10">
        <v>10</v>
      </c>
      <c r="L16" s="197">
        <v>12</v>
      </c>
      <c r="M16" s="57">
        <v>166</v>
      </c>
      <c r="N16" s="57">
        <v>51.9</v>
      </c>
      <c r="O16" s="57"/>
      <c r="P16" s="54">
        <v>0</v>
      </c>
      <c r="Q16" s="13">
        <v>2251.96</v>
      </c>
      <c r="R16" s="14">
        <f>533.4+146</f>
        <v>679.4</v>
      </c>
      <c r="S16" s="93">
        <f t="shared" si="0"/>
        <v>3149.26</v>
      </c>
      <c r="T16" s="15"/>
      <c r="U16" s="15"/>
      <c r="V16" s="15"/>
      <c r="W16" s="15"/>
    </row>
    <row r="17" spans="2:23" s="16" customFormat="1" ht="22.5">
      <c r="B17" s="94">
        <v>13</v>
      </c>
      <c r="C17" s="189" t="s">
        <v>188</v>
      </c>
      <c r="D17" s="10" t="s">
        <v>98</v>
      </c>
      <c r="E17" s="238" t="s">
        <v>503</v>
      </c>
      <c r="F17" s="164" t="s">
        <v>215</v>
      </c>
      <c r="G17" s="202" t="s">
        <v>252</v>
      </c>
      <c r="H17" s="9" t="str">
        <f t="shared" si="1"/>
        <v>IMPLANTAÇÃO AGHUSE - HOSPITAL MILITAR DO EXÉRCITO - MÓDULO CIRURGIAS.</v>
      </c>
      <c r="I17" s="10" t="s">
        <v>65</v>
      </c>
      <c r="J17" s="17">
        <v>43525</v>
      </c>
      <c r="K17" s="10">
        <v>18</v>
      </c>
      <c r="L17" s="11">
        <v>20</v>
      </c>
      <c r="M17" s="57">
        <v>141.9</v>
      </c>
      <c r="N17" s="57">
        <v>90.85</v>
      </c>
      <c r="O17" s="57"/>
      <c r="P17" s="54">
        <v>0</v>
      </c>
      <c r="Q17" s="13">
        <v>2130.37</v>
      </c>
      <c r="R17" s="14">
        <f>595.7+104.94</f>
        <v>700.6400000000001</v>
      </c>
      <c r="S17" s="93">
        <f t="shared" si="0"/>
        <v>3063.76</v>
      </c>
      <c r="T17" s="15"/>
      <c r="U17" s="15"/>
      <c r="V17" s="15"/>
      <c r="W17" s="15"/>
    </row>
    <row r="18" spans="2:23" s="16" customFormat="1" ht="35.25" customHeight="1">
      <c r="B18" s="94">
        <v>14</v>
      </c>
      <c r="C18" s="189" t="s">
        <v>189</v>
      </c>
      <c r="D18" s="10" t="s">
        <v>216</v>
      </c>
      <c r="E18" s="238" t="s">
        <v>521</v>
      </c>
      <c r="F18" s="164" t="s">
        <v>217</v>
      </c>
      <c r="G18" s="194" t="s">
        <v>253</v>
      </c>
      <c r="H18" s="9" t="str">
        <f t="shared" si="1"/>
        <v>APIO À IMPLANTAÇÃO DO MÓDULO DE CIRURGIAS DO AGHUSE NO HOSPITAL MILITAR DO EXÉRCITO DE ÁREA DE BRASÍLIA</v>
      </c>
      <c r="I18" s="10" t="s">
        <v>65</v>
      </c>
      <c r="J18" s="17">
        <v>43525</v>
      </c>
      <c r="K18" s="10">
        <v>18</v>
      </c>
      <c r="L18" s="11">
        <v>20</v>
      </c>
      <c r="M18" s="57">
        <v>163.63999999999999</v>
      </c>
      <c r="N18" s="57">
        <v>186.44</v>
      </c>
      <c r="O18" s="57"/>
      <c r="P18" s="54">
        <v>0</v>
      </c>
      <c r="Q18" s="13">
        <v>2130.37</v>
      </c>
      <c r="R18" s="14">
        <f>595.7+99.2</f>
        <v>694.90000000000009</v>
      </c>
      <c r="S18" s="93">
        <f t="shared" si="0"/>
        <v>3175.35</v>
      </c>
      <c r="T18" s="15"/>
      <c r="U18" s="15"/>
      <c r="V18" s="15"/>
      <c r="W18" s="15"/>
    </row>
    <row r="19" spans="2:23" s="16" customFormat="1" ht="26.25" customHeight="1">
      <c r="B19" s="94">
        <v>15</v>
      </c>
      <c r="C19" s="189" t="s">
        <v>190</v>
      </c>
      <c r="D19" s="10" t="s">
        <v>218</v>
      </c>
      <c r="E19" s="238" t="s">
        <v>522</v>
      </c>
      <c r="F19" s="164" t="s">
        <v>219</v>
      </c>
      <c r="G19" s="194" t="s">
        <v>254</v>
      </c>
      <c r="H19" s="9" t="str">
        <f t="shared" si="1"/>
        <v>MINISTRAR TREINAMENTO AGHUSE - MÓDULO FARMÁCIA - CADASTRO DE MEDICAMENTOS - SESAB</v>
      </c>
      <c r="I19" s="10" t="s">
        <v>72</v>
      </c>
      <c r="J19" s="17">
        <v>43525</v>
      </c>
      <c r="K19" s="10">
        <v>24</v>
      </c>
      <c r="L19" s="197">
        <v>26</v>
      </c>
      <c r="M19" s="57">
        <v>181.12</v>
      </c>
      <c r="N19" s="57">
        <v>37.18</v>
      </c>
      <c r="O19" s="57"/>
      <c r="P19" s="54">
        <v>0</v>
      </c>
      <c r="Q19" s="13">
        <f>815.08+837.98</f>
        <v>1653.06</v>
      </c>
      <c r="R19" s="14">
        <f>533.4+157</f>
        <v>690.4</v>
      </c>
      <c r="S19" s="93">
        <f t="shared" si="0"/>
        <v>2561.7599999999998</v>
      </c>
      <c r="T19" s="15"/>
      <c r="U19" s="15"/>
      <c r="V19" s="15"/>
      <c r="W19" s="15"/>
    </row>
    <row r="20" spans="2:23" s="16" customFormat="1" ht="25.5" customHeight="1">
      <c r="B20" s="94">
        <v>16</v>
      </c>
      <c r="C20" s="189" t="s">
        <v>191</v>
      </c>
      <c r="D20" s="9" t="s">
        <v>513</v>
      </c>
      <c r="E20" s="230" t="s">
        <v>512</v>
      </c>
      <c r="F20" s="164" t="s">
        <v>220</v>
      </c>
      <c r="G20" s="202" t="s">
        <v>255</v>
      </c>
      <c r="H20" s="9" t="str">
        <f t="shared" si="1"/>
        <v>MINISTRAR TREINAMENTO AGHUSE - H M EXÉRCITO - MÓDULO SESSÕES TERAPÊUTICAS</v>
      </c>
      <c r="I20" s="10" t="s">
        <v>65</v>
      </c>
      <c r="J20" s="17">
        <v>43525</v>
      </c>
      <c r="K20" s="10">
        <v>25</v>
      </c>
      <c r="L20" s="11">
        <v>29</v>
      </c>
      <c r="M20" s="57">
        <v>48.7</v>
      </c>
      <c r="N20" s="57">
        <v>224.82</v>
      </c>
      <c r="O20" s="57"/>
      <c r="P20" s="54">
        <v>0</v>
      </c>
      <c r="Q20" s="13">
        <f>1225.98+820.39</f>
        <v>2046.37</v>
      </c>
      <c r="R20" s="14">
        <f>1150.6+242</f>
        <v>1392.6</v>
      </c>
      <c r="S20" s="93">
        <f t="shared" si="0"/>
        <v>3712.49</v>
      </c>
      <c r="T20" s="15"/>
      <c r="U20" s="15"/>
      <c r="V20" s="15"/>
      <c r="W20" s="15"/>
    </row>
    <row r="21" spans="2:23" s="16" customFormat="1" ht="22.5">
      <c r="B21" s="94">
        <v>17</v>
      </c>
      <c r="C21" s="189" t="s">
        <v>192</v>
      </c>
      <c r="D21" s="9" t="s">
        <v>208</v>
      </c>
      <c r="E21" s="230" t="s">
        <v>511</v>
      </c>
      <c r="F21" s="164" t="s">
        <v>221</v>
      </c>
      <c r="G21" s="194" t="s">
        <v>256</v>
      </c>
      <c r="H21" s="9" t="str">
        <f t="shared" si="1"/>
        <v>IMPLANTAÇÃO AGHUSE - MÓDULO SESSÕES TERAPÊUTICAS</v>
      </c>
      <c r="I21" s="10" t="s">
        <v>65</v>
      </c>
      <c r="J21" s="17">
        <v>43525</v>
      </c>
      <c r="K21" s="10">
        <v>25</v>
      </c>
      <c r="L21" s="11">
        <v>29</v>
      </c>
      <c r="M21" s="57">
        <v>183.22</v>
      </c>
      <c r="N21" s="57">
        <v>130.08000000000001</v>
      </c>
      <c r="O21" s="57"/>
      <c r="P21" s="54">
        <v>0</v>
      </c>
      <c r="Q21" s="13">
        <f>1225.98+820.39</f>
        <v>2046.37</v>
      </c>
      <c r="R21" s="14">
        <f>1150.6+352</f>
        <v>1502.6</v>
      </c>
      <c r="S21" s="93">
        <f t="shared" si="0"/>
        <v>3862.27</v>
      </c>
      <c r="T21" s="15"/>
      <c r="U21" s="15"/>
      <c r="V21" s="15"/>
      <c r="W21" s="15"/>
    </row>
    <row r="22" spans="2:23" s="16" customFormat="1" ht="22.5">
      <c r="B22" s="94">
        <v>18</v>
      </c>
      <c r="C22" s="189" t="s">
        <v>193</v>
      </c>
      <c r="D22" s="9" t="s">
        <v>222</v>
      </c>
      <c r="E22" s="230" t="s">
        <v>514</v>
      </c>
      <c r="F22" s="164" t="s">
        <v>223</v>
      </c>
      <c r="G22" s="164" t="s">
        <v>255</v>
      </c>
      <c r="H22" s="9" t="str">
        <f t="shared" si="1"/>
        <v>MINISTRAR TREINAMENTO AGHUSE - H M EXÉRCITO - MÓDULO SESSÕES TERAPÊUTICAS</v>
      </c>
      <c r="I22" s="10" t="s">
        <v>65</v>
      </c>
      <c r="J22" s="17">
        <v>43525</v>
      </c>
      <c r="K22" s="10">
        <v>25</v>
      </c>
      <c r="L22" s="11">
        <v>29</v>
      </c>
      <c r="M22" s="57">
        <v>53</v>
      </c>
      <c r="N22" s="57">
        <v>363.2</v>
      </c>
      <c r="O22" s="57"/>
      <c r="P22" s="54">
        <v>0</v>
      </c>
      <c r="Q22" s="13">
        <f>1225.98+820.39</f>
        <v>2046.37</v>
      </c>
      <c r="R22" s="14">
        <f>1150.6+290.4</f>
        <v>1441</v>
      </c>
      <c r="S22" s="93">
        <f t="shared" si="0"/>
        <v>3903.5699999999997</v>
      </c>
      <c r="T22" s="15"/>
      <c r="U22" s="15"/>
      <c r="V22" s="15"/>
      <c r="W22" s="15"/>
    </row>
    <row r="23" spans="2:23" s="16" customFormat="1" ht="36.75" customHeight="1">
      <c r="B23" s="94">
        <v>19</v>
      </c>
      <c r="C23" s="189" t="s">
        <v>194</v>
      </c>
      <c r="D23" s="10" t="s">
        <v>224</v>
      </c>
      <c r="E23" s="230" t="s">
        <v>484</v>
      </c>
      <c r="F23" s="164" t="s">
        <v>128</v>
      </c>
      <c r="G23" s="202" t="s">
        <v>257</v>
      </c>
      <c r="H23" s="9" t="str">
        <f t="shared" si="1"/>
        <v>PARA PARTICIPAR DE UMA REUNIÃO COM O SECRETÁRIO DE COORDENAÇÃO E GOVERNANÇA DAS EMPRESAS ESTATAIS (SEST/SEDD/ME) .</v>
      </c>
      <c r="I23" s="10" t="s">
        <v>65</v>
      </c>
      <c r="J23" s="198">
        <v>43556</v>
      </c>
      <c r="K23" s="199">
        <v>4</v>
      </c>
      <c r="L23" s="200">
        <v>4</v>
      </c>
      <c r="M23" s="57">
        <v>0</v>
      </c>
      <c r="N23" s="57">
        <v>0</v>
      </c>
      <c r="O23" s="57"/>
      <c r="P23" s="54">
        <v>0</v>
      </c>
      <c r="Q23" s="13">
        <v>1026.3699999999999</v>
      </c>
      <c r="R23" s="14">
        <v>500</v>
      </c>
      <c r="S23" s="93">
        <f t="shared" si="0"/>
        <v>1526.37</v>
      </c>
      <c r="T23" s="15"/>
      <c r="U23" s="15"/>
      <c r="V23" s="15"/>
      <c r="W23" s="15"/>
    </row>
    <row r="24" spans="2:23" s="16" customFormat="1" ht="12.75">
      <c r="B24" s="94">
        <v>20</v>
      </c>
      <c r="C24" s="189" t="s">
        <v>195</v>
      </c>
      <c r="D24" s="10" t="s">
        <v>225</v>
      </c>
      <c r="E24" s="230" t="s">
        <v>515</v>
      </c>
      <c r="F24" s="164" t="s">
        <v>226</v>
      </c>
      <c r="G24" s="196" t="s">
        <v>258</v>
      </c>
      <c r="H24" s="10" t="str">
        <f t="shared" si="1"/>
        <v>REUNIÃO NO MINISTÉRIO DA ECONOMIA - SEST.</v>
      </c>
      <c r="I24" s="10" t="s">
        <v>65</v>
      </c>
      <c r="J24" s="198">
        <v>43556</v>
      </c>
      <c r="K24" s="199">
        <v>4</v>
      </c>
      <c r="L24" s="200">
        <v>4</v>
      </c>
      <c r="M24" s="57">
        <v>85</v>
      </c>
      <c r="N24" s="57">
        <v>31.5</v>
      </c>
      <c r="O24" s="57"/>
      <c r="P24" s="54">
        <v>0</v>
      </c>
      <c r="Q24" s="13">
        <v>1024.3699999999999</v>
      </c>
      <c r="R24" s="14">
        <v>0</v>
      </c>
      <c r="S24" s="93">
        <f t="shared" si="0"/>
        <v>1140.8699999999999</v>
      </c>
      <c r="T24" s="15"/>
      <c r="U24" s="15"/>
      <c r="V24" s="15"/>
      <c r="W24" s="15"/>
    </row>
    <row r="25" spans="2:23" s="16" customFormat="1" ht="12.75">
      <c r="B25" s="94">
        <v>21</v>
      </c>
      <c r="C25" s="189" t="s">
        <v>196</v>
      </c>
      <c r="D25" s="10" t="s">
        <v>227</v>
      </c>
      <c r="E25" s="230" t="s">
        <v>516</v>
      </c>
      <c r="F25" s="9" t="s">
        <v>228</v>
      </c>
      <c r="G25" s="196" t="s">
        <v>258</v>
      </c>
      <c r="H25" s="10" t="str">
        <f t="shared" si="1"/>
        <v>REUNIÃO NO MINISTÉRIO DA ECONOMIA - SEST.</v>
      </c>
      <c r="I25" s="10" t="s">
        <v>65</v>
      </c>
      <c r="J25" s="198">
        <v>43556</v>
      </c>
      <c r="K25" s="199">
        <v>4</v>
      </c>
      <c r="L25" s="200">
        <v>4</v>
      </c>
      <c r="M25" s="57">
        <v>35</v>
      </c>
      <c r="N25" s="57">
        <v>0</v>
      </c>
      <c r="O25" s="57"/>
      <c r="P25" s="54">
        <v>29</v>
      </c>
      <c r="Q25" s="13">
        <v>1024.3699999999999</v>
      </c>
      <c r="R25" s="14">
        <v>0</v>
      </c>
      <c r="S25" s="93">
        <f t="shared" si="0"/>
        <v>1088.3699999999999</v>
      </c>
      <c r="T25" s="15"/>
      <c r="U25" s="15"/>
      <c r="V25" s="15"/>
      <c r="W25" s="15"/>
    </row>
    <row r="26" spans="2:23" s="16" customFormat="1" ht="22.5">
      <c r="B26" s="94">
        <v>22</v>
      </c>
      <c r="C26" s="189" t="s">
        <v>365</v>
      </c>
      <c r="D26" s="10" t="s">
        <v>229</v>
      </c>
      <c r="E26" s="230" t="s">
        <v>517</v>
      </c>
      <c r="F26" s="164" t="s">
        <v>230</v>
      </c>
      <c r="G26" s="194" t="s">
        <v>259</v>
      </c>
      <c r="H26" s="9" t="str">
        <f t="shared" si="1"/>
        <v>TRABALHO DE ASSESSORIA A COORDENAÇÃO DE CONTABILIDADE DA EBSERH.</v>
      </c>
      <c r="I26" s="10" t="s">
        <v>65</v>
      </c>
      <c r="J26" s="198">
        <v>43557</v>
      </c>
      <c r="K26" s="199">
        <v>8</v>
      </c>
      <c r="L26" s="200">
        <v>11</v>
      </c>
      <c r="M26" s="57"/>
      <c r="N26" s="57"/>
      <c r="O26" s="57"/>
      <c r="P26" s="54">
        <f>41+98+46+40+38+41+38+47+50</f>
        <v>439</v>
      </c>
      <c r="Q26" s="13">
        <v>1882.37</v>
      </c>
      <c r="R26" s="14">
        <f>893.55+158.4</f>
        <v>1051.95</v>
      </c>
      <c r="S26" s="93">
        <f t="shared" si="0"/>
        <v>3373.3199999999997</v>
      </c>
      <c r="T26" s="15"/>
      <c r="U26" s="15"/>
      <c r="V26" s="15"/>
      <c r="W26" s="15"/>
    </row>
    <row r="27" spans="2:23" s="16" customFormat="1" ht="27.75" customHeight="1">
      <c r="B27" s="94">
        <v>23</v>
      </c>
      <c r="C27" s="189" t="s">
        <v>197</v>
      </c>
      <c r="D27" s="10" t="s">
        <v>231</v>
      </c>
      <c r="E27" s="238" t="s">
        <v>518</v>
      </c>
      <c r="F27" s="164" t="s">
        <v>232</v>
      </c>
      <c r="G27" s="202" t="s">
        <v>260</v>
      </c>
      <c r="H27" s="9" t="str">
        <f t="shared" si="1"/>
        <v>REUNIÃO COM O SECRETÁRIO DE COORDENAÇÃO E GOVERNANÇA DAS EMPRESAS ESTATAIS. </v>
      </c>
      <c r="I27" s="10" t="s">
        <v>65</v>
      </c>
      <c r="J27" s="198">
        <v>43556</v>
      </c>
      <c r="K27" s="199">
        <v>4</v>
      </c>
      <c r="L27" s="200">
        <v>4</v>
      </c>
      <c r="M27" s="57">
        <v>32</v>
      </c>
      <c r="N27" s="57">
        <v>34.81</v>
      </c>
      <c r="O27" s="57"/>
      <c r="P27" s="54">
        <v>0</v>
      </c>
      <c r="Q27" s="13">
        <v>1026.3699999999999</v>
      </c>
      <c r="R27" s="14">
        <v>0</v>
      </c>
      <c r="S27" s="93">
        <f t="shared" si="0"/>
        <v>1093.1799999999998</v>
      </c>
      <c r="T27" s="15"/>
      <c r="U27" s="15"/>
      <c r="V27" s="15"/>
      <c r="W27" s="15"/>
    </row>
    <row r="28" spans="2:23" s="16" customFormat="1" ht="36" customHeight="1">
      <c r="B28" s="94">
        <v>24</v>
      </c>
      <c r="C28" s="189" t="s">
        <v>198</v>
      </c>
      <c r="D28" s="9" t="s">
        <v>233</v>
      </c>
      <c r="E28" s="238" t="s">
        <v>523</v>
      </c>
      <c r="F28" s="164" t="s">
        <v>234</v>
      </c>
      <c r="G28" s="194" t="s">
        <v>261</v>
      </c>
      <c r="H28" s="9" t="str">
        <f t="shared" si="1"/>
        <v>MINISTRAR TREINAMENTO MÓDULO FARMÁCIA - PROJETO AGHUSE - HOSPITAL DO EXÉRCITO BRASÍLIA.</v>
      </c>
      <c r="I28" s="10" t="s">
        <v>269</v>
      </c>
      <c r="J28" s="198">
        <v>43557</v>
      </c>
      <c r="K28" s="199">
        <v>3</v>
      </c>
      <c r="L28" s="200">
        <v>5</v>
      </c>
      <c r="M28" s="57">
        <v>85</v>
      </c>
      <c r="N28" s="57">
        <v>31.5</v>
      </c>
      <c r="O28" s="208"/>
      <c r="P28" s="54">
        <v>0</v>
      </c>
      <c r="Q28" s="13">
        <f>373.05+599.39</f>
        <v>972.44</v>
      </c>
      <c r="R28" s="14">
        <f>595.7+167.09</f>
        <v>762.79000000000008</v>
      </c>
      <c r="S28" s="93">
        <f t="shared" si="0"/>
        <v>1851.73</v>
      </c>
      <c r="T28" s="15"/>
      <c r="U28" s="15"/>
      <c r="V28" s="15"/>
      <c r="W28" s="15"/>
    </row>
    <row r="29" spans="2:23" s="16" customFormat="1" ht="35.25" customHeight="1">
      <c r="B29" s="94">
        <v>25</v>
      </c>
      <c r="C29" s="189" t="s">
        <v>199</v>
      </c>
      <c r="D29" s="10" t="s">
        <v>235</v>
      </c>
      <c r="E29" s="238" t="s">
        <v>524</v>
      </c>
      <c r="F29" s="163" t="s">
        <v>236</v>
      </c>
      <c r="G29" s="194" t="s">
        <v>262</v>
      </c>
      <c r="H29" s="9" t="str">
        <f t="shared" si="1"/>
        <v>MINISTRAR TREINAMENTO MÓDULO COMPRAS - PROJETO AGHUSE - HOSPITAL DO EXÉRCITO BRASÍLIA.</v>
      </c>
      <c r="I29" s="10" t="s">
        <v>65</v>
      </c>
      <c r="J29" s="17">
        <v>43525</v>
      </c>
      <c r="K29" s="10">
        <v>31</v>
      </c>
      <c r="L29" s="11">
        <v>2</v>
      </c>
      <c r="M29" s="57">
        <v>98.38</v>
      </c>
      <c r="N29" s="57">
        <v>171.61</v>
      </c>
      <c r="O29" s="208"/>
      <c r="P29" s="54">
        <v>0</v>
      </c>
      <c r="Q29" s="13">
        <v>1750.37</v>
      </c>
      <c r="R29" s="14">
        <f>595.7+54.1</f>
        <v>649.80000000000007</v>
      </c>
      <c r="S29" s="93">
        <f t="shared" si="0"/>
        <v>2670.16</v>
      </c>
      <c r="T29" s="15"/>
      <c r="U29" s="15"/>
      <c r="V29" s="15"/>
      <c r="W29" s="15"/>
    </row>
    <row r="30" spans="2:23" s="16" customFormat="1" ht="33.75" customHeight="1">
      <c r="B30" s="94">
        <v>26</v>
      </c>
      <c r="C30" s="189" t="s">
        <v>200</v>
      </c>
      <c r="D30" s="10" t="s">
        <v>237</v>
      </c>
      <c r="E30" s="238" t="s">
        <v>525</v>
      </c>
      <c r="F30" s="164" t="s">
        <v>238</v>
      </c>
      <c r="G30" s="194" t="s">
        <v>263</v>
      </c>
      <c r="H30" s="9" t="str">
        <f t="shared" si="1"/>
        <v>MINISTRAR TREINAMENTO MÓDULO ESTOQUE - PROJETO AGHUSE - HOSPITAL DO EXÉRCITO BRASÍLIA.</v>
      </c>
      <c r="I30" s="10" t="s">
        <v>65</v>
      </c>
      <c r="J30" s="198">
        <v>43557</v>
      </c>
      <c r="K30" s="199">
        <v>1</v>
      </c>
      <c r="L30" s="200">
        <v>4</v>
      </c>
      <c r="M30" s="57">
        <v>376.45</v>
      </c>
      <c r="N30" s="57">
        <v>85</v>
      </c>
      <c r="O30" s="208"/>
      <c r="P30" s="54">
        <v>0</v>
      </c>
      <c r="Q30" s="13">
        <f>1530.98+599.39</f>
        <v>2130.37</v>
      </c>
      <c r="R30" s="14">
        <f>893.55+337.37</f>
        <v>1230.92</v>
      </c>
      <c r="S30" s="93">
        <f t="shared" si="0"/>
        <v>3822.74</v>
      </c>
      <c r="T30" s="15"/>
      <c r="U30" s="15"/>
      <c r="V30" s="15"/>
      <c r="W30" s="15"/>
    </row>
    <row r="31" spans="2:23" s="16" customFormat="1" ht="81" customHeight="1">
      <c r="B31" s="94">
        <v>27</v>
      </c>
      <c r="C31" s="189" t="s">
        <v>201</v>
      </c>
      <c r="D31" s="10" t="s">
        <v>239</v>
      </c>
      <c r="E31" s="238" t="s">
        <v>526</v>
      </c>
      <c r="F31" s="10" t="s">
        <v>240</v>
      </c>
      <c r="G31" s="202" t="s">
        <v>264</v>
      </c>
      <c r="H31" s="9" t="str">
        <f t="shared" si="1"/>
        <v>REUNIÃO NO MINISTÉRIO DA SAÚDE - PLANO DE EXPANSÃO DA RADIOTERAPIA SUS  (DISCUSSÃO E DELIBERAR SOBRE OS PROCEDIMENTOS ADEQUADOS PARA A PRESTAÇÃO EFETIVA DAS MANUTENÇÕES PREVENTIVAS E CORRETIVAS DOS EQUIPAMENTOS QUE COMPÕEM A SOLUÇÃO DE RADIOTERAPIA)</v>
      </c>
      <c r="I31" s="10" t="s">
        <v>65</v>
      </c>
      <c r="J31" s="198">
        <v>43556</v>
      </c>
      <c r="K31" s="199">
        <v>3</v>
      </c>
      <c r="L31" s="200">
        <v>3</v>
      </c>
      <c r="M31" s="57"/>
      <c r="N31" s="57"/>
      <c r="O31" s="208"/>
      <c r="P31" s="161">
        <v>0</v>
      </c>
      <c r="Q31" s="13">
        <v>1656.37</v>
      </c>
      <c r="R31" s="14">
        <v>0</v>
      </c>
      <c r="S31" s="93">
        <f t="shared" si="0"/>
        <v>1656.37</v>
      </c>
      <c r="T31" s="15"/>
      <c r="U31" s="15"/>
      <c r="V31" s="15"/>
      <c r="W31" s="15"/>
    </row>
    <row r="32" spans="2:23" s="16" customFormat="1" ht="60" customHeight="1" thickBot="1">
      <c r="B32" s="95">
        <v>28</v>
      </c>
      <c r="C32" s="191" t="s">
        <v>366</v>
      </c>
      <c r="D32" s="100" t="s">
        <v>241</v>
      </c>
      <c r="E32" s="254" t="s">
        <v>527</v>
      </c>
      <c r="F32" s="203" t="s">
        <v>242</v>
      </c>
      <c r="G32" s="204" t="s">
        <v>264</v>
      </c>
      <c r="H32" s="98" t="str">
        <f t="shared" si="1"/>
        <v>REUNIÃO NO MINISTÉRIO DA SAÚDE - PLANO DE EXPANSÃO DA RADIOTERAPIA SUS  (DISCUSSÃO E DELIBERAR SOBRE OS PROCEDIMENTOS ADEQUADOS PARA A PRESTAÇÃO EFETIVA DAS MANUTENÇÕES PREVENTIVAS E CORRETIVAS DOS EQUIPAMENTOS QUE COMPÕEM A SOLUÇÃO DE RADIOTERAPIA)</v>
      </c>
      <c r="I32" s="100" t="s">
        <v>65</v>
      </c>
      <c r="J32" s="205">
        <v>43556</v>
      </c>
      <c r="K32" s="206">
        <v>3</v>
      </c>
      <c r="L32" s="207">
        <v>3</v>
      </c>
      <c r="M32" s="125"/>
      <c r="N32" s="125"/>
      <c r="O32" s="125"/>
      <c r="P32" s="209">
        <v>0</v>
      </c>
      <c r="Q32" s="103">
        <v>1656.37</v>
      </c>
      <c r="R32" s="104">
        <v>0</v>
      </c>
      <c r="S32" s="105">
        <f t="shared" si="0"/>
        <v>1656.37</v>
      </c>
      <c r="T32" s="15"/>
      <c r="U32" s="15"/>
      <c r="V32" s="15"/>
      <c r="W32" s="15"/>
    </row>
    <row r="33" spans="2:19" s="15" customFormat="1" ht="12.75" thickBot="1">
      <c r="B33" s="19"/>
      <c r="C33" s="20"/>
      <c r="D33" s="21"/>
      <c r="E33" s="21"/>
      <c r="F33" s="21"/>
      <c r="G33" s="21"/>
      <c r="H33" s="21"/>
      <c r="I33" s="21"/>
      <c r="J33" s="22"/>
      <c r="K33" s="23"/>
      <c r="L33" s="24"/>
      <c r="M33" s="25"/>
      <c r="N33" s="25"/>
      <c r="O33" s="25"/>
      <c r="P33" s="26"/>
      <c r="Q33" s="27"/>
      <c r="R33" s="28"/>
      <c r="S33" s="29"/>
    </row>
    <row r="34" spans="2:19" s="30" customFormat="1" ht="16.5" thickBot="1">
      <c r="B34" s="284" t="s">
        <v>31</v>
      </c>
      <c r="C34" s="31"/>
      <c r="D34" s="147" t="s">
        <v>41</v>
      </c>
      <c r="E34" s="184"/>
      <c r="F34" s="31"/>
      <c r="G34" s="31"/>
      <c r="H34" s="31"/>
      <c r="I34" s="33"/>
      <c r="J34" s="31"/>
      <c r="K34" s="19"/>
      <c r="L34" s="32"/>
      <c r="M34" s="34">
        <f t="shared" ref="M34:R34" si="2">SUM(M5:M32)</f>
        <v>2145.65</v>
      </c>
      <c r="N34" s="34">
        <f t="shared" si="2"/>
        <v>1890.1</v>
      </c>
      <c r="O34" s="34">
        <f t="shared" si="2"/>
        <v>0</v>
      </c>
      <c r="P34" s="119">
        <f t="shared" si="2"/>
        <v>878.95</v>
      </c>
      <c r="Q34" s="37">
        <f t="shared" si="2"/>
        <v>43883.290000000008</v>
      </c>
      <c r="R34" s="38">
        <f t="shared" si="2"/>
        <v>15339.580000000002</v>
      </c>
      <c r="S34" s="36">
        <f>SUM(S5:S32)+P35</f>
        <v>64146.359500000013</v>
      </c>
    </row>
    <row r="35" spans="2:19" s="39" customFormat="1" ht="16.5" thickBot="1">
      <c r="C35" s="40"/>
      <c r="D35" s="358"/>
      <c r="E35" s="358"/>
      <c r="F35" s="358"/>
      <c r="G35" s="358"/>
      <c r="H35" s="358"/>
      <c r="I35" s="358"/>
      <c r="J35" s="358"/>
      <c r="K35" s="358"/>
      <c r="L35" s="41"/>
      <c r="M35" s="42"/>
      <c r="N35" s="42"/>
      <c r="O35" s="87" t="s">
        <v>31</v>
      </c>
      <c r="P35" s="26">
        <f>P34*1%</f>
        <v>8.7895000000000003</v>
      </c>
      <c r="S35" s="43"/>
    </row>
    <row r="36" spans="2:19" s="39" customFormat="1" ht="16.5" thickBot="1">
      <c r="C36" s="40"/>
      <c r="D36" s="217"/>
      <c r="E36" s="217"/>
      <c r="F36" s="40"/>
      <c r="G36" s="40"/>
      <c r="H36" s="40"/>
      <c r="I36" s="44"/>
      <c r="J36" s="40"/>
      <c r="K36" s="40"/>
      <c r="L36" s="41"/>
      <c r="M36" s="42"/>
      <c r="N36" s="42"/>
      <c r="O36" s="42"/>
      <c r="P36" s="89">
        <f>P34+P35</f>
        <v>887.73950000000002</v>
      </c>
      <c r="Q36" s="45"/>
      <c r="R36" s="43"/>
      <c r="S36" s="46" t="s">
        <v>8</v>
      </c>
    </row>
    <row r="37" spans="2:19" s="39" customFormat="1">
      <c r="C37" s="40"/>
      <c r="D37" s="359"/>
      <c r="E37" s="359"/>
      <c r="F37" s="359"/>
      <c r="G37" s="359"/>
      <c r="H37" s="359"/>
      <c r="I37" s="359"/>
      <c r="J37" s="359"/>
      <c r="K37" s="359"/>
      <c r="L37" s="41"/>
      <c r="M37" s="42"/>
      <c r="N37" s="42"/>
      <c r="O37" s="42"/>
      <c r="P37" s="26"/>
      <c r="Q37" s="5" t="s">
        <v>7</v>
      </c>
      <c r="R37" s="138">
        <f>M34+N34+O34+P36+Q34+R34</f>
        <v>64146.359500000006</v>
      </c>
      <c r="S37" s="47">
        <f>S34-R37</f>
        <v>0</v>
      </c>
    </row>
    <row r="38" spans="2:19" ht="15.75">
      <c r="C38" s="48"/>
      <c r="D38" s="49"/>
      <c r="E38" s="49"/>
      <c r="F38" s="49"/>
      <c r="G38" s="49"/>
      <c r="H38" s="49"/>
      <c r="I38" s="50"/>
      <c r="J38" s="51"/>
      <c r="K38" s="51"/>
      <c r="L38" s="51"/>
      <c r="O38" s="87" t="s">
        <v>31</v>
      </c>
      <c r="P38" s="26" t="s">
        <v>32</v>
      </c>
    </row>
    <row r="39" spans="2:19">
      <c r="C39" s="48"/>
      <c r="D39" s="49"/>
      <c r="E39" s="49"/>
      <c r="F39" s="49"/>
      <c r="G39" s="49"/>
      <c r="H39" s="49"/>
      <c r="I39" s="50"/>
      <c r="J39" s="51"/>
      <c r="K39" s="51"/>
      <c r="L39" s="51"/>
      <c r="P39" s="26"/>
    </row>
    <row r="40" spans="2:19">
      <c r="C40" s="48"/>
      <c r="D40" s="49"/>
      <c r="E40" s="49"/>
      <c r="F40" s="49"/>
      <c r="G40" s="49"/>
      <c r="H40" s="49"/>
      <c r="I40" s="50"/>
      <c r="J40" s="51"/>
      <c r="K40" s="51"/>
      <c r="L40" s="51"/>
      <c r="P40" s="26"/>
    </row>
    <row r="41" spans="2:19">
      <c r="C41" s="48"/>
      <c r="D41" s="49"/>
      <c r="E41" s="49"/>
      <c r="F41" s="49"/>
      <c r="G41" s="49"/>
      <c r="H41" s="49"/>
      <c r="I41" s="50"/>
      <c r="J41" s="51"/>
      <c r="K41" s="51"/>
      <c r="L41" s="51"/>
      <c r="P41" s="26"/>
    </row>
    <row r="42" spans="2:19">
      <c r="C42" s="48"/>
      <c r="D42" s="49"/>
      <c r="E42" s="49"/>
      <c r="F42" s="49"/>
      <c r="G42" s="49"/>
      <c r="H42" s="49"/>
      <c r="I42" s="50"/>
      <c r="J42" s="51"/>
      <c r="K42" s="51"/>
      <c r="L42" s="51"/>
      <c r="P42" s="26"/>
    </row>
    <row r="43" spans="2:19">
      <c r="C43" s="48"/>
      <c r="D43" s="49"/>
      <c r="E43" s="49"/>
      <c r="F43" s="49"/>
      <c r="G43" s="49"/>
      <c r="H43" s="49"/>
      <c r="I43" s="50"/>
      <c r="J43" s="51"/>
      <c r="K43" s="51"/>
      <c r="L43" s="51"/>
      <c r="P43" s="26"/>
    </row>
    <row r="44" spans="2:19">
      <c r="C44" s="48"/>
      <c r="D44" s="49"/>
      <c r="E44" s="49"/>
      <c r="F44" s="49"/>
      <c r="G44" s="49"/>
      <c r="H44" s="49"/>
      <c r="I44" s="50"/>
      <c r="J44" s="51"/>
      <c r="K44" s="51"/>
      <c r="L44" s="51"/>
      <c r="P44" s="26"/>
      <c r="Q44"/>
      <c r="R44"/>
      <c r="S44"/>
    </row>
    <row r="45" spans="2:19">
      <c r="C45" s="48"/>
      <c r="D45" s="49"/>
      <c r="E45" s="49"/>
      <c r="F45" s="49"/>
      <c r="G45" s="49"/>
      <c r="H45" s="49"/>
      <c r="I45" s="50"/>
      <c r="J45" s="51"/>
      <c r="K45" s="51"/>
      <c r="L45" s="51"/>
      <c r="P45" s="26"/>
      <c r="Q45"/>
      <c r="R45"/>
      <c r="S45"/>
    </row>
    <row r="46" spans="2:19">
      <c r="C46" s="48"/>
      <c r="I46" s="50"/>
      <c r="J46" s="51"/>
      <c r="K46" s="51"/>
      <c r="L46" s="51"/>
      <c r="P46" s="26"/>
      <c r="Q46"/>
      <c r="R46"/>
      <c r="S46"/>
    </row>
    <row r="47" spans="2:19">
      <c r="C47" s="48"/>
      <c r="D47" s="49"/>
      <c r="E47" s="49"/>
      <c r="F47" s="49"/>
      <c r="G47" s="49"/>
      <c r="H47" s="49"/>
      <c r="I47" s="50"/>
      <c r="J47" s="51"/>
      <c r="K47" s="51"/>
      <c r="L47" s="51"/>
      <c r="P47" s="26"/>
      <c r="Q47"/>
      <c r="R47"/>
      <c r="S47"/>
    </row>
    <row r="48" spans="2:19">
      <c r="C48" s="48"/>
      <c r="D48" s="49"/>
      <c r="E48" s="49"/>
      <c r="F48" s="49"/>
      <c r="G48" s="49"/>
      <c r="H48" s="49"/>
      <c r="I48" s="50"/>
      <c r="J48" s="51"/>
      <c r="K48" s="51"/>
      <c r="L48" s="51"/>
      <c r="P48" s="52"/>
      <c r="Q48"/>
      <c r="R48"/>
      <c r="S48"/>
    </row>
    <row r="49" spans="3:19" ht="15.75">
      <c r="C49" s="48"/>
      <c r="D49" s="49"/>
      <c r="E49" s="49"/>
      <c r="F49" s="49"/>
      <c r="G49" s="49"/>
      <c r="H49" s="49"/>
      <c r="I49" s="50"/>
      <c r="J49" s="51"/>
      <c r="K49" s="51"/>
      <c r="L49" s="51"/>
      <c r="P49" s="39"/>
      <c r="Q49"/>
      <c r="R49"/>
      <c r="S49"/>
    </row>
    <row r="50" spans="3:19" ht="15.75">
      <c r="C50" s="48"/>
      <c r="D50" s="49"/>
      <c r="E50" s="49"/>
      <c r="F50" s="49"/>
      <c r="G50" s="49"/>
      <c r="H50" s="49"/>
      <c r="I50" s="50"/>
      <c r="J50" s="51"/>
      <c r="K50" s="51"/>
      <c r="L50" s="51"/>
      <c r="P50" s="39"/>
      <c r="Q50"/>
      <c r="R50"/>
      <c r="S50"/>
    </row>
    <row r="51" spans="3:19" ht="15.75">
      <c r="C51" s="48"/>
      <c r="D51" s="49"/>
      <c r="E51" s="49"/>
      <c r="F51" s="49"/>
      <c r="G51" s="49"/>
      <c r="H51" s="49"/>
      <c r="I51" s="50"/>
      <c r="J51" s="51"/>
      <c r="K51" s="51"/>
      <c r="L51" s="51"/>
      <c r="P51" s="39"/>
      <c r="Q51"/>
      <c r="R51"/>
      <c r="S51"/>
    </row>
    <row r="52" spans="3:19">
      <c r="C52" s="48"/>
      <c r="D52" s="49"/>
      <c r="E52" s="49"/>
      <c r="F52" s="49"/>
      <c r="G52" s="49"/>
      <c r="H52" s="49"/>
      <c r="I52" s="50"/>
      <c r="J52" s="51"/>
      <c r="K52" s="51"/>
      <c r="L52" s="51"/>
      <c r="Q52"/>
      <c r="R52"/>
      <c r="S52"/>
    </row>
    <row r="53" spans="3:19">
      <c r="C53" s="48"/>
      <c r="D53" s="49"/>
      <c r="E53" s="49"/>
      <c r="F53" s="49"/>
      <c r="G53" s="49"/>
      <c r="H53" s="49"/>
      <c r="I53" s="50"/>
      <c r="J53" s="51"/>
      <c r="K53" s="51"/>
      <c r="L53" s="51"/>
      <c r="Q53"/>
      <c r="R53"/>
      <c r="S53"/>
    </row>
    <row r="54" spans="3:19">
      <c r="C54" s="48"/>
      <c r="D54" s="49"/>
      <c r="E54" s="49"/>
      <c r="F54" s="49"/>
      <c r="G54" s="49"/>
      <c r="H54" s="49"/>
      <c r="I54" s="50"/>
      <c r="J54" s="51"/>
      <c r="K54" s="51"/>
      <c r="L54" s="51"/>
      <c r="Q54"/>
      <c r="R54"/>
      <c r="S54"/>
    </row>
    <row r="55" spans="3:19">
      <c r="C55" s="48"/>
      <c r="D55" s="49"/>
      <c r="E55" s="49"/>
      <c r="F55" s="49"/>
      <c r="G55" s="49"/>
      <c r="H55" s="49"/>
      <c r="I55" s="50"/>
      <c r="J55" s="51"/>
      <c r="K55" s="51"/>
      <c r="L55" s="51"/>
      <c r="Q55"/>
      <c r="R55"/>
      <c r="S55"/>
    </row>
    <row r="56" spans="3:19">
      <c r="C56" s="48"/>
      <c r="D56" s="49"/>
      <c r="E56" s="49"/>
      <c r="F56" s="49"/>
      <c r="G56" s="49"/>
      <c r="H56" s="49"/>
      <c r="I56" s="50"/>
      <c r="J56" s="51"/>
      <c r="K56" s="51"/>
      <c r="L56" s="51"/>
      <c r="Q56"/>
      <c r="R56"/>
      <c r="S56"/>
    </row>
    <row r="57" spans="3:19">
      <c r="C57" s="48"/>
      <c r="D57" s="49"/>
      <c r="E57" s="49"/>
      <c r="F57" s="49"/>
      <c r="G57" s="49"/>
      <c r="H57" s="49"/>
      <c r="I57" s="50"/>
      <c r="J57" s="51"/>
      <c r="K57" s="51"/>
      <c r="L57" s="51"/>
      <c r="Q57"/>
      <c r="R57"/>
      <c r="S57"/>
    </row>
    <row r="58" spans="3:19">
      <c r="C58" s="48"/>
      <c r="D58" s="49"/>
      <c r="E58" s="49"/>
      <c r="F58" s="49"/>
      <c r="G58" s="49"/>
      <c r="H58" s="49"/>
      <c r="I58" s="50"/>
      <c r="J58" s="51"/>
      <c r="K58" s="51"/>
      <c r="L58" s="51"/>
      <c r="Q58"/>
      <c r="R58"/>
      <c r="S58"/>
    </row>
    <row r="59" spans="3:19">
      <c r="C59" s="48"/>
      <c r="D59" s="49"/>
      <c r="E59" s="49"/>
      <c r="F59" s="49"/>
      <c r="G59" s="49"/>
      <c r="H59" s="49"/>
      <c r="I59" s="50"/>
      <c r="J59" s="51"/>
      <c r="K59" s="51"/>
      <c r="L59" s="51"/>
      <c r="Q59"/>
      <c r="R59"/>
      <c r="S59"/>
    </row>
    <row r="60" spans="3:19">
      <c r="C60" s="48"/>
      <c r="D60" s="49"/>
      <c r="E60" s="49"/>
      <c r="F60" s="49"/>
      <c r="G60" s="49"/>
      <c r="H60" s="49"/>
      <c r="I60" s="50"/>
      <c r="J60" s="51"/>
      <c r="K60" s="51"/>
      <c r="L60" s="51"/>
      <c r="M60"/>
      <c r="N60"/>
      <c r="O60"/>
      <c r="Q60"/>
      <c r="R60"/>
      <c r="S60"/>
    </row>
    <row r="61" spans="3:19">
      <c r="C61" s="48"/>
      <c r="D61" s="49"/>
      <c r="E61" s="49"/>
      <c r="F61" s="49"/>
      <c r="G61" s="49"/>
      <c r="H61" s="49"/>
      <c r="I61" s="50"/>
      <c r="J61" s="51"/>
      <c r="K61" s="51"/>
      <c r="L61" s="51"/>
      <c r="M61"/>
      <c r="N61"/>
      <c r="O61"/>
      <c r="Q61"/>
      <c r="R61"/>
      <c r="S61"/>
    </row>
    <row r="62" spans="3:19">
      <c r="C62" s="48"/>
      <c r="D62" s="49"/>
      <c r="E62" s="49"/>
      <c r="F62" s="49"/>
      <c r="G62" s="49"/>
      <c r="H62" s="49"/>
      <c r="I62" s="50"/>
      <c r="J62" s="51"/>
      <c r="K62" s="51"/>
      <c r="L62" s="51"/>
      <c r="M62"/>
      <c r="N62"/>
      <c r="O62"/>
      <c r="Q62"/>
      <c r="R62"/>
      <c r="S62"/>
    </row>
    <row r="63" spans="3:19">
      <c r="C63" s="48"/>
      <c r="D63" s="49"/>
      <c r="E63" s="49"/>
      <c r="F63" s="49"/>
      <c r="G63" s="49"/>
      <c r="H63" s="49"/>
      <c r="I63" s="50"/>
      <c r="J63" s="51"/>
      <c r="K63" s="51"/>
      <c r="L63" s="51"/>
      <c r="M63"/>
      <c r="N63"/>
      <c r="O63"/>
      <c r="Q63"/>
      <c r="R63"/>
      <c r="S63"/>
    </row>
    <row r="64" spans="3:19">
      <c r="C64" s="48"/>
      <c r="D64" s="49"/>
      <c r="E64" s="49"/>
      <c r="F64" s="49"/>
      <c r="G64" s="49"/>
      <c r="H64" s="49"/>
      <c r="I64" s="50"/>
      <c r="J64" s="51"/>
      <c r="K64" s="51"/>
      <c r="L64" s="51"/>
      <c r="M64"/>
      <c r="N64"/>
      <c r="O64"/>
      <c r="Q64"/>
      <c r="R64"/>
      <c r="S64"/>
    </row>
    <row r="65" spans="3:19">
      <c r="C65" s="48"/>
      <c r="D65" s="49"/>
      <c r="E65" s="49"/>
      <c r="F65" s="49"/>
      <c r="G65" s="49"/>
      <c r="H65" s="49"/>
      <c r="I65" s="50"/>
      <c r="J65" s="51"/>
      <c r="K65" s="51"/>
      <c r="L65" s="51"/>
      <c r="M65"/>
      <c r="N65"/>
      <c r="O65"/>
      <c r="Q65"/>
      <c r="R65"/>
      <c r="S65"/>
    </row>
    <row r="66" spans="3:19">
      <c r="C66" s="48"/>
      <c r="D66" s="49"/>
      <c r="E66" s="49"/>
      <c r="F66" s="49"/>
      <c r="G66" s="49"/>
      <c r="H66" s="49"/>
      <c r="I66" s="50"/>
      <c r="J66" s="51"/>
      <c r="K66" s="51"/>
      <c r="L66" s="51"/>
      <c r="M66"/>
      <c r="N66"/>
      <c r="O66"/>
      <c r="Q66"/>
      <c r="R66"/>
      <c r="S66"/>
    </row>
    <row r="67" spans="3:19">
      <c r="C67" s="48"/>
      <c r="D67" s="49"/>
      <c r="E67" s="49"/>
      <c r="F67" s="49"/>
      <c r="G67" s="49"/>
      <c r="H67" s="49"/>
      <c r="I67" s="50"/>
      <c r="J67" s="51"/>
      <c r="K67" s="51"/>
      <c r="L67" s="51"/>
      <c r="M67"/>
      <c r="N67"/>
      <c r="O67"/>
      <c r="Q67"/>
      <c r="R67"/>
      <c r="S67"/>
    </row>
    <row r="68" spans="3:19">
      <c r="C68" s="48"/>
      <c r="D68" s="49"/>
      <c r="E68" s="49"/>
      <c r="F68" s="49"/>
      <c r="G68" s="49"/>
      <c r="H68" s="49"/>
      <c r="I68" s="50"/>
      <c r="J68" s="51"/>
      <c r="K68" s="51"/>
      <c r="L68" s="51"/>
      <c r="M68"/>
      <c r="N68"/>
      <c r="O68"/>
      <c r="Q68"/>
      <c r="R68"/>
      <c r="S68"/>
    </row>
    <row r="69" spans="3:19">
      <c r="C69" s="48"/>
      <c r="D69" s="49"/>
      <c r="E69" s="49"/>
      <c r="F69" s="49"/>
      <c r="G69" s="49"/>
      <c r="H69" s="49"/>
      <c r="I69" s="50"/>
      <c r="J69" s="51"/>
      <c r="K69" s="51"/>
      <c r="L69" s="51"/>
      <c r="M69"/>
      <c r="N69"/>
      <c r="O69"/>
      <c r="Q69"/>
      <c r="R69"/>
      <c r="S69"/>
    </row>
    <row r="70" spans="3:19">
      <c r="C70" s="48"/>
      <c r="D70" s="49"/>
      <c r="E70" s="49"/>
      <c r="F70" s="49"/>
      <c r="G70" s="49"/>
      <c r="H70" s="49"/>
      <c r="I70" s="50"/>
      <c r="J70" s="51"/>
      <c r="K70" s="51"/>
      <c r="L70" s="51"/>
      <c r="M70"/>
      <c r="N70"/>
      <c r="O70"/>
      <c r="Q70"/>
      <c r="R70"/>
      <c r="S70"/>
    </row>
    <row r="71" spans="3:19">
      <c r="C71" s="48"/>
      <c r="D71" s="49"/>
      <c r="E71" s="49"/>
      <c r="F71" s="49"/>
      <c r="G71" s="49"/>
      <c r="H71" s="49"/>
      <c r="I71" s="50"/>
      <c r="J71" s="51"/>
      <c r="K71" s="51"/>
      <c r="L71" s="51"/>
      <c r="M71"/>
      <c r="N71"/>
      <c r="O71"/>
      <c r="Q71"/>
      <c r="R71"/>
      <c r="S71"/>
    </row>
    <row r="72" spans="3:19">
      <c r="C72" s="48"/>
      <c r="D72" s="49"/>
      <c r="E72" s="49"/>
      <c r="F72" s="49"/>
      <c r="G72" s="49"/>
      <c r="H72" s="49"/>
      <c r="I72" s="50"/>
      <c r="J72" s="51"/>
      <c r="K72" s="51"/>
      <c r="L72" s="51"/>
      <c r="M72"/>
      <c r="N72"/>
      <c r="O72"/>
      <c r="Q72"/>
      <c r="R72"/>
      <c r="S72"/>
    </row>
    <row r="73" spans="3:19">
      <c r="C73" s="48"/>
      <c r="D73" s="49"/>
      <c r="E73" s="49"/>
      <c r="F73" s="49"/>
      <c r="G73" s="49"/>
      <c r="H73" s="49"/>
      <c r="I73" s="50"/>
      <c r="J73" s="51"/>
      <c r="K73" s="51"/>
      <c r="L73" s="51"/>
      <c r="M73"/>
      <c r="N73"/>
      <c r="O73"/>
      <c r="Q73"/>
      <c r="R73"/>
      <c r="S73"/>
    </row>
    <row r="74" spans="3:19">
      <c r="C74" s="48"/>
      <c r="D74" s="49"/>
      <c r="E74" s="49"/>
      <c r="F74" s="49"/>
      <c r="G74" s="49"/>
      <c r="H74" s="49"/>
      <c r="I74" s="50"/>
      <c r="J74" s="51"/>
      <c r="K74" s="51"/>
      <c r="L74" s="51"/>
      <c r="M74"/>
      <c r="N74"/>
      <c r="O74"/>
      <c r="Q74"/>
      <c r="R74"/>
      <c r="S74"/>
    </row>
    <row r="75" spans="3:19">
      <c r="C75" s="48"/>
      <c r="D75" s="49"/>
      <c r="E75" s="49"/>
      <c r="F75" s="49"/>
      <c r="G75" s="49"/>
      <c r="H75" s="49"/>
      <c r="I75" s="50"/>
      <c r="J75" s="51"/>
      <c r="K75" s="51"/>
      <c r="L75" s="51"/>
      <c r="M75"/>
      <c r="N75"/>
      <c r="O75"/>
      <c r="Q75"/>
      <c r="R75"/>
      <c r="S75"/>
    </row>
    <row r="76" spans="3:19">
      <c r="C76" s="48"/>
      <c r="D76" s="49"/>
      <c r="E76" s="49"/>
      <c r="F76" s="49"/>
      <c r="G76" s="49"/>
      <c r="H76" s="49"/>
      <c r="I76" s="50"/>
      <c r="J76" s="51"/>
      <c r="K76" s="51"/>
      <c r="L76" s="51"/>
      <c r="M76"/>
      <c r="N76"/>
      <c r="O76"/>
      <c r="Q76"/>
      <c r="R76"/>
      <c r="S76"/>
    </row>
    <row r="77" spans="3:19">
      <c r="C77" s="48"/>
      <c r="D77" s="49"/>
      <c r="E77" s="49"/>
      <c r="F77" s="49"/>
      <c r="G77" s="49"/>
      <c r="H77" s="49"/>
      <c r="I77" s="50"/>
      <c r="J77" s="51"/>
      <c r="K77" s="51"/>
      <c r="L77" s="51"/>
      <c r="M77"/>
      <c r="N77"/>
      <c r="O77"/>
      <c r="Q77"/>
      <c r="R77"/>
      <c r="S77"/>
    </row>
    <row r="78" spans="3:19">
      <c r="C78" s="48"/>
      <c r="D78" s="49"/>
      <c r="E78" s="49"/>
      <c r="F78" s="49"/>
      <c r="G78" s="49"/>
      <c r="H78" s="49"/>
      <c r="I78" s="50"/>
      <c r="J78" s="51"/>
      <c r="K78" s="51"/>
      <c r="L78" s="51"/>
      <c r="M78"/>
      <c r="N78"/>
      <c r="O78"/>
      <c r="Q78"/>
      <c r="R78"/>
      <c r="S78"/>
    </row>
    <row r="79" spans="3:19">
      <c r="C79" s="48"/>
      <c r="D79" s="49"/>
      <c r="E79" s="49"/>
      <c r="F79" s="49"/>
      <c r="G79" s="49"/>
      <c r="H79" s="49"/>
      <c r="I79" s="50"/>
      <c r="J79" s="51"/>
      <c r="K79" s="51"/>
      <c r="L79" s="51"/>
      <c r="M79"/>
      <c r="N79"/>
      <c r="O79"/>
      <c r="Q79"/>
      <c r="R79"/>
      <c r="S79"/>
    </row>
    <row r="80" spans="3:19">
      <c r="C80" s="48"/>
      <c r="D80" s="49"/>
      <c r="E80" s="49"/>
      <c r="F80" s="49"/>
      <c r="G80" s="49"/>
      <c r="H80" s="49"/>
      <c r="I80" s="50"/>
      <c r="J80" s="51"/>
      <c r="K80" s="51"/>
      <c r="L80" s="51"/>
      <c r="M80"/>
      <c r="N80"/>
      <c r="O80"/>
      <c r="Q80"/>
      <c r="R80"/>
      <c r="S80"/>
    </row>
    <row r="81" spans="3:19">
      <c r="C81" s="48"/>
      <c r="D81" s="49"/>
      <c r="E81" s="49"/>
      <c r="F81" s="49"/>
      <c r="G81" s="49"/>
      <c r="H81" s="49"/>
      <c r="I81" s="50"/>
      <c r="J81" s="51"/>
      <c r="K81" s="51"/>
      <c r="L81" s="51"/>
      <c r="M81"/>
      <c r="N81"/>
      <c r="O81"/>
      <c r="Q81"/>
      <c r="R81"/>
      <c r="S81"/>
    </row>
    <row r="82" spans="3:19">
      <c r="C82" s="48"/>
      <c r="D82" s="49"/>
      <c r="E82" s="49"/>
      <c r="F82" s="49"/>
      <c r="G82" s="49"/>
      <c r="H82" s="49"/>
      <c r="I82" s="50"/>
      <c r="J82" s="51"/>
      <c r="K82" s="51"/>
      <c r="L82" s="51"/>
      <c r="M82"/>
      <c r="N82"/>
      <c r="O82"/>
      <c r="Q82"/>
      <c r="R82"/>
      <c r="S82"/>
    </row>
    <row r="83" spans="3:19">
      <c r="C83" s="48"/>
      <c r="D83" s="49"/>
      <c r="E83" s="49"/>
      <c r="F83" s="49"/>
      <c r="G83" s="49"/>
      <c r="H83" s="49"/>
      <c r="I83" s="50"/>
      <c r="J83" s="51"/>
      <c r="K83" s="51"/>
      <c r="L83" s="51"/>
      <c r="M83"/>
      <c r="N83"/>
      <c r="O83"/>
      <c r="Q83"/>
      <c r="R83"/>
      <c r="S83"/>
    </row>
    <row r="84" spans="3:19">
      <c r="C84" s="48"/>
      <c r="D84" s="49"/>
      <c r="E84" s="49"/>
      <c r="F84" s="49"/>
      <c r="G84" s="49"/>
      <c r="H84" s="49"/>
      <c r="I84" s="50"/>
      <c r="J84" s="51"/>
      <c r="K84" s="51"/>
      <c r="L84" s="51"/>
      <c r="M84"/>
      <c r="N84"/>
      <c r="O84"/>
      <c r="Q84"/>
      <c r="R84"/>
      <c r="S84"/>
    </row>
    <row r="85" spans="3:19">
      <c r="C85" s="48"/>
      <c r="D85" s="49"/>
      <c r="E85" s="49"/>
      <c r="F85" s="49"/>
      <c r="G85" s="49"/>
      <c r="H85" s="49"/>
      <c r="I85" s="50"/>
      <c r="J85" s="51"/>
      <c r="K85" s="51"/>
      <c r="L85" s="51"/>
      <c r="M85"/>
      <c r="N85"/>
      <c r="O85"/>
      <c r="Q85"/>
      <c r="R85"/>
      <c r="S85"/>
    </row>
    <row r="86" spans="3:19">
      <c r="C86" s="48"/>
      <c r="D86" s="49"/>
      <c r="E86" s="49"/>
      <c r="F86" s="49"/>
      <c r="G86" s="49"/>
      <c r="H86" s="49"/>
      <c r="I86" s="50"/>
      <c r="J86" s="51"/>
      <c r="K86" s="51"/>
      <c r="L86" s="51"/>
      <c r="M86"/>
      <c r="N86"/>
      <c r="O86"/>
      <c r="Q86"/>
      <c r="R86"/>
      <c r="S86"/>
    </row>
    <row r="87" spans="3:19">
      <c r="C87" s="48"/>
      <c r="D87" s="49"/>
      <c r="E87" s="49"/>
      <c r="F87" s="49"/>
      <c r="G87" s="49"/>
      <c r="H87" s="49"/>
      <c r="I87" s="50"/>
      <c r="J87" s="51"/>
      <c r="K87" s="51"/>
      <c r="L87" s="51"/>
      <c r="M87"/>
      <c r="N87"/>
      <c r="O87"/>
      <c r="Q87"/>
      <c r="R87"/>
      <c r="S87"/>
    </row>
    <row r="88" spans="3:19">
      <c r="C88" s="48"/>
      <c r="D88" s="49"/>
      <c r="E88" s="49"/>
      <c r="F88" s="49"/>
      <c r="G88" s="49"/>
      <c r="H88" s="49"/>
      <c r="I88" s="50"/>
      <c r="J88" s="51"/>
      <c r="K88" s="51"/>
      <c r="L88" s="51"/>
      <c r="M88"/>
      <c r="N88"/>
      <c r="O88"/>
      <c r="Q88"/>
      <c r="R88"/>
      <c r="S88"/>
    </row>
    <row r="89" spans="3:19">
      <c r="C89" s="48"/>
      <c r="D89" s="49"/>
      <c r="E89" s="49"/>
      <c r="F89" s="49"/>
      <c r="G89" s="49"/>
      <c r="H89" s="49"/>
      <c r="I89" s="50"/>
      <c r="J89" s="51"/>
      <c r="K89" s="51"/>
      <c r="L89" s="51"/>
      <c r="M89"/>
      <c r="N89"/>
      <c r="O89"/>
      <c r="Q89"/>
      <c r="R89"/>
      <c r="S89"/>
    </row>
    <row r="90" spans="3:19">
      <c r="C90" s="48"/>
      <c r="D90" s="49"/>
      <c r="E90" s="49"/>
      <c r="F90" s="49"/>
      <c r="G90" s="49"/>
      <c r="H90" s="49"/>
      <c r="I90" s="50"/>
      <c r="J90" s="51"/>
      <c r="K90" s="51"/>
      <c r="L90" s="51"/>
      <c r="M90"/>
      <c r="N90"/>
      <c r="O90"/>
      <c r="Q90"/>
      <c r="R90"/>
      <c r="S90"/>
    </row>
    <row r="91" spans="3:19">
      <c r="C91" s="48"/>
      <c r="D91" s="49"/>
      <c r="E91" s="49"/>
      <c r="F91" s="49"/>
      <c r="G91" s="49"/>
      <c r="H91" s="49"/>
      <c r="I91" s="50"/>
      <c r="J91" s="51"/>
      <c r="K91" s="51"/>
      <c r="L91" s="51"/>
      <c r="M91"/>
      <c r="N91"/>
      <c r="O91"/>
      <c r="Q91"/>
      <c r="R91"/>
      <c r="S91"/>
    </row>
    <row r="92" spans="3:19">
      <c r="C92" s="48"/>
      <c r="D92" s="49"/>
      <c r="E92" s="49"/>
      <c r="F92" s="49"/>
      <c r="G92" s="49"/>
      <c r="H92" s="49"/>
      <c r="I92" s="50"/>
      <c r="J92" s="51"/>
      <c r="K92" s="51"/>
      <c r="L92" s="51"/>
      <c r="M92"/>
      <c r="N92"/>
      <c r="O92"/>
      <c r="Q92"/>
      <c r="R92"/>
      <c r="S92"/>
    </row>
    <row r="93" spans="3:19">
      <c r="C93" s="48"/>
      <c r="D93" s="49"/>
      <c r="E93" s="49"/>
      <c r="F93" s="49"/>
      <c r="G93" s="49"/>
      <c r="H93" s="49"/>
      <c r="I93" s="50"/>
      <c r="J93" s="51"/>
      <c r="K93" s="51"/>
      <c r="L93" s="51"/>
      <c r="M93"/>
      <c r="N93"/>
      <c r="O93"/>
      <c r="Q93"/>
      <c r="R93"/>
      <c r="S93"/>
    </row>
    <row r="94" spans="3:19">
      <c r="C94" s="48"/>
      <c r="D94" s="49"/>
      <c r="E94" s="49"/>
      <c r="F94" s="49"/>
      <c r="G94" s="49"/>
      <c r="H94" s="49"/>
      <c r="I94" s="50"/>
      <c r="J94" s="51"/>
      <c r="K94" s="51"/>
      <c r="L94" s="51"/>
      <c r="M94"/>
      <c r="N94"/>
      <c r="O94"/>
      <c r="Q94"/>
      <c r="R94"/>
      <c r="S94"/>
    </row>
    <row r="95" spans="3:19">
      <c r="C95" s="48"/>
      <c r="D95" s="49"/>
      <c r="E95" s="49"/>
      <c r="F95" s="49"/>
      <c r="G95" s="49"/>
      <c r="H95" s="49"/>
      <c r="I95" s="50"/>
      <c r="J95" s="51"/>
      <c r="K95" s="51"/>
      <c r="L95" s="51"/>
      <c r="M95"/>
      <c r="N95"/>
      <c r="O95"/>
      <c r="Q95"/>
      <c r="R95"/>
      <c r="S95"/>
    </row>
    <row r="96" spans="3:19">
      <c r="C96" s="48"/>
      <c r="D96" s="49"/>
      <c r="E96" s="49"/>
      <c r="F96" s="49"/>
      <c r="G96" s="49"/>
      <c r="H96" s="49"/>
      <c r="I96" s="50"/>
      <c r="J96" s="51"/>
      <c r="K96" s="51"/>
      <c r="L96" s="51"/>
      <c r="M96"/>
      <c r="N96"/>
      <c r="O96"/>
      <c r="Q96"/>
      <c r="R96"/>
      <c r="S96"/>
    </row>
    <row r="97" spans="3:19">
      <c r="C97" s="48"/>
      <c r="D97" s="49"/>
      <c r="E97" s="49"/>
      <c r="F97" s="49"/>
      <c r="G97" s="49"/>
      <c r="H97" s="49"/>
      <c r="I97" s="50"/>
      <c r="J97" s="51"/>
      <c r="K97" s="51"/>
      <c r="L97" s="51"/>
      <c r="M97"/>
      <c r="N97"/>
      <c r="O97"/>
      <c r="Q97"/>
      <c r="R97"/>
      <c r="S97"/>
    </row>
    <row r="98" spans="3:19">
      <c r="C98" s="48"/>
      <c r="D98" s="49"/>
      <c r="E98" s="49"/>
      <c r="F98" s="49"/>
      <c r="G98" s="49"/>
      <c r="H98" s="49"/>
      <c r="I98" s="50"/>
      <c r="J98" s="51"/>
      <c r="K98" s="51"/>
      <c r="L98" s="51"/>
      <c r="M98"/>
      <c r="N98"/>
      <c r="O98"/>
      <c r="Q98"/>
      <c r="R98"/>
      <c r="S98"/>
    </row>
    <row r="99" spans="3:19">
      <c r="C99" s="48"/>
      <c r="D99" s="49"/>
      <c r="E99" s="49"/>
      <c r="F99" s="49"/>
      <c r="G99" s="49"/>
      <c r="H99" s="49"/>
      <c r="I99" s="50"/>
      <c r="J99" s="51"/>
      <c r="K99" s="51"/>
      <c r="L99" s="51"/>
      <c r="M99"/>
      <c r="N99"/>
      <c r="O99"/>
      <c r="Q99"/>
      <c r="R99"/>
      <c r="S99"/>
    </row>
    <row r="100" spans="3:19">
      <c r="C100" s="48"/>
      <c r="D100" s="49"/>
      <c r="E100" s="49"/>
      <c r="F100" s="49"/>
      <c r="G100" s="49"/>
      <c r="H100" s="49"/>
      <c r="I100" s="50"/>
      <c r="J100" s="51"/>
      <c r="K100" s="51"/>
      <c r="L100" s="51"/>
      <c r="M100"/>
      <c r="N100"/>
      <c r="O100"/>
      <c r="Q100"/>
      <c r="R100"/>
      <c r="S100"/>
    </row>
    <row r="101" spans="3:19">
      <c r="C101" s="48"/>
      <c r="D101" s="49"/>
      <c r="E101" s="49"/>
      <c r="F101" s="49"/>
      <c r="G101" s="49"/>
      <c r="H101" s="49"/>
      <c r="I101" s="50"/>
      <c r="J101" s="51"/>
      <c r="K101" s="51"/>
      <c r="L101" s="51"/>
      <c r="M101"/>
      <c r="N101"/>
      <c r="O101"/>
      <c r="Q101"/>
      <c r="R101"/>
      <c r="S101"/>
    </row>
    <row r="102" spans="3:19">
      <c r="C102" s="48"/>
      <c r="D102" s="49"/>
      <c r="E102" s="49"/>
      <c r="F102" s="49"/>
      <c r="G102" s="49"/>
      <c r="H102" s="49"/>
      <c r="I102" s="50"/>
      <c r="J102" s="51"/>
      <c r="K102" s="51"/>
      <c r="L102" s="51"/>
      <c r="M102"/>
      <c r="N102"/>
      <c r="O102"/>
      <c r="Q102"/>
      <c r="R102"/>
      <c r="S102"/>
    </row>
    <row r="103" spans="3:19">
      <c r="C103" s="48"/>
      <c r="D103" s="49"/>
      <c r="E103" s="49"/>
      <c r="F103" s="49"/>
      <c r="G103" s="49"/>
      <c r="H103" s="49"/>
      <c r="I103" s="50"/>
      <c r="J103" s="51"/>
      <c r="K103" s="51"/>
      <c r="L103" s="51"/>
      <c r="M103"/>
      <c r="N103"/>
      <c r="O103"/>
      <c r="Q103"/>
      <c r="R103"/>
      <c r="S103"/>
    </row>
    <row r="104" spans="3:19">
      <c r="C104" s="48"/>
      <c r="D104" s="49"/>
      <c r="E104" s="49"/>
      <c r="F104" s="49"/>
      <c r="G104" s="49"/>
      <c r="H104" s="49"/>
      <c r="I104" s="50"/>
      <c r="J104" s="51"/>
      <c r="K104" s="51"/>
      <c r="L104" s="51"/>
      <c r="M104"/>
      <c r="N104"/>
      <c r="O104"/>
      <c r="Q104"/>
      <c r="R104"/>
      <c r="S104"/>
    </row>
    <row r="105" spans="3:19">
      <c r="C105" s="48"/>
      <c r="D105" s="49"/>
      <c r="E105" s="49"/>
      <c r="F105" s="49"/>
      <c r="G105" s="49"/>
      <c r="H105" s="49"/>
      <c r="I105" s="50"/>
      <c r="J105" s="51"/>
      <c r="K105" s="51"/>
      <c r="L105" s="51"/>
      <c r="M105"/>
      <c r="N105"/>
      <c r="O105"/>
      <c r="Q105"/>
      <c r="R105"/>
      <c r="S105"/>
    </row>
    <row r="106" spans="3:19">
      <c r="C106" s="48"/>
      <c r="D106" s="49"/>
      <c r="E106" s="49"/>
      <c r="F106" s="49"/>
      <c r="G106" s="49"/>
      <c r="H106" s="49"/>
      <c r="I106" s="50"/>
      <c r="J106" s="51"/>
      <c r="K106" s="51"/>
      <c r="L106" s="51"/>
      <c r="M106"/>
      <c r="N106"/>
      <c r="O106"/>
      <c r="Q106"/>
      <c r="R106"/>
      <c r="S106"/>
    </row>
    <row r="107" spans="3:19">
      <c r="C107" s="48"/>
      <c r="D107" s="49"/>
      <c r="E107" s="49"/>
      <c r="F107" s="49"/>
      <c r="G107" s="49"/>
      <c r="H107" s="49"/>
      <c r="I107" s="50"/>
      <c r="J107" s="51"/>
      <c r="K107" s="51"/>
      <c r="L107" s="51"/>
      <c r="M107"/>
      <c r="N107"/>
      <c r="O107"/>
      <c r="Q107"/>
      <c r="R107"/>
      <c r="S107"/>
    </row>
    <row r="108" spans="3:19">
      <c r="C108" s="48"/>
      <c r="D108" s="49"/>
      <c r="E108" s="49"/>
      <c r="F108" s="49"/>
      <c r="G108" s="49"/>
      <c r="H108" s="49"/>
      <c r="I108" s="50"/>
      <c r="J108" s="51"/>
      <c r="K108" s="51"/>
      <c r="L108" s="51"/>
      <c r="M108"/>
      <c r="N108"/>
      <c r="O108"/>
      <c r="Q108"/>
      <c r="R108"/>
      <c r="S108"/>
    </row>
    <row r="109" spans="3:19">
      <c r="C109" s="48"/>
      <c r="D109" s="49"/>
      <c r="E109" s="49"/>
      <c r="F109" s="49"/>
      <c r="G109" s="49"/>
      <c r="H109" s="49"/>
      <c r="I109" s="50"/>
      <c r="J109" s="51"/>
      <c r="K109" s="51"/>
      <c r="L109" s="51"/>
      <c r="M109"/>
      <c r="N109"/>
      <c r="O109"/>
      <c r="Q109"/>
      <c r="R109"/>
      <c r="S109"/>
    </row>
    <row r="110" spans="3:19">
      <c r="C110" s="48"/>
      <c r="D110" s="49"/>
      <c r="E110" s="49"/>
      <c r="F110" s="49"/>
      <c r="G110" s="49"/>
      <c r="H110" s="49"/>
      <c r="I110" s="50"/>
      <c r="J110" s="51"/>
      <c r="K110" s="51"/>
      <c r="L110" s="51"/>
      <c r="M110"/>
      <c r="N110"/>
      <c r="O110"/>
      <c r="Q110"/>
      <c r="R110"/>
      <c r="S110"/>
    </row>
    <row r="111" spans="3:19">
      <c r="C111" s="48"/>
      <c r="D111" s="49"/>
      <c r="E111" s="49"/>
      <c r="F111" s="49"/>
      <c r="G111" s="49"/>
      <c r="H111" s="49"/>
      <c r="I111" s="50"/>
      <c r="J111" s="51"/>
      <c r="K111" s="51"/>
      <c r="L111" s="51"/>
      <c r="M111"/>
      <c r="N111"/>
      <c r="O111"/>
      <c r="Q111"/>
      <c r="R111"/>
      <c r="S111"/>
    </row>
    <row r="112" spans="3:19">
      <c r="C112" s="48"/>
      <c r="D112" s="49"/>
      <c r="E112" s="49"/>
      <c r="F112" s="49"/>
      <c r="G112" s="49"/>
      <c r="H112" s="49"/>
      <c r="I112" s="50"/>
      <c r="J112" s="51"/>
      <c r="K112" s="51"/>
      <c r="L112" s="51"/>
      <c r="M112"/>
      <c r="N112"/>
      <c r="O112"/>
      <c r="Q112"/>
      <c r="R112"/>
      <c r="S112"/>
    </row>
    <row r="113" spans="3:19">
      <c r="C113" s="48"/>
      <c r="D113" s="49"/>
      <c r="E113" s="49"/>
      <c r="F113" s="49"/>
      <c r="G113" s="49"/>
      <c r="H113" s="49"/>
      <c r="I113" s="50"/>
      <c r="J113" s="51"/>
      <c r="K113" s="51"/>
      <c r="L113" s="51"/>
      <c r="M113"/>
      <c r="N113"/>
      <c r="O113"/>
      <c r="Q113"/>
      <c r="R113"/>
      <c r="S113"/>
    </row>
    <row r="114" spans="3:19">
      <c r="C114" s="48"/>
      <c r="D114" s="49"/>
      <c r="E114" s="49"/>
      <c r="F114" s="49"/>
      <c r="G114" s="49"/>
      <c r="H114" s="49"/>
      <c r="I114" s="50"/>
      <c r="J114" s="51"/>
      <c r="K114" s="51"/>
      <c r="L114" s="51"/>
      <c r="M114"/>
      <c r="N114"/>
      <c r="O114"/>
      <c r="Q114"/>
      <c r="R114"/>
      <c r="S114"/>
    </row>
    <row r="115" spans="3:19">
      <c r="C115" s="48"/>
      <c r="D115" s="49"/>
      <c r="E115" s="49"/>
      <c r="F115" s="49"/>
      <c r="G115" s="49"/>
      <c r="H115" s="49"/>
      <c r="I115" s="50"/>
      <c r="J115" s="51"/>
      <c r="K115" s="51"/>
      <c r="L115" s="51"/>
      <c r="M115"/>
      <c r="N115"/>
      <c r="O115"/>
      <c r="Q115"/>
      <c r="R115"/>
      <c r="S115"/>
    </row>
    <row r="116" spans="3:19">
      <c r="C116" s="48"/>
      <c r="D116" s="49"/>
      <c r="E116" s="49"/>
      <c r="F116" s="49"/>
      <c r="G116" s="49"/>
      <c r="H116" s="49"/>
      <c r="I116" s="50"/>
      <c r="J116" s="51"/>
      <c r="K116" s="51"/>
      <c r="L116" s="51"/>
      <c r="M116"/>
      <c r="N116"/>
      <c r="O116"/>
      <c r="Q116"/>
      <c r="R116"/>
      <c r="S116"/>
    </row>
  </sheetData>
  <sheetProtection password="EFEB" sheet="1" objects="1" scenarios="1"/>
  <mergeCells count="6">
    <mergeCell ref="J4:L4"/>
    <mergeCell ref="D35:K35"/>
    <mergeCell ref="D37:K37"/>
    <mergeCell ref="B2:S2"/>
    <mergeCell ref="M3:O3"/>
    <mergeCell ref="Q3:S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B3:AK108"/>
  <sheetViews>
    <sheetView topLeftCell="A14" workbookViewId="0">
      <selection activeCell="B26" sqref="B26:E26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38.85546875" customWidth="1"/>
    <col min="9" max="9" width="25.5703125" style="2" customWidth="1"/>
    <col min="10" max="12" width="9.140625" style="3"/>
    <col min="13" max="13" width="14.28515625" style="4" customWidth="1"/>
    <col min="14" max="14" width="14.85546875" style="4" customWidth="1"/>
    <col min="15" max="15" width="13.7109375" style="4" customWidth="1"/>
    <col min="16" max="16" width="13.5703125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42578125" customWidth="1"/>
    <col min="255" max="255" width="16.425781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4" width="14.28515625" customWidth="1"/>
    <col min="265" max="265" width="13.7109375" customWidth="1"/>
    <col min="266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42578125" customWidth="1"/>
    <col min="511" max="511" width="16.425781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0" width="14.28515625" customWidth="1"/>
    <col min="521" max="521" width="13.7109375" customWidth="1"/>
    <col min="522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42578125" customWidth="1"/>
    <col min="767" max="767" width="16.425781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6" width="14.28515625" customWidth="1"/>
    <col min="777" max="777" width="13.7109375" customWidth="1"/>
    <col min="778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42578125" customWidth="1"/>
    <col min="1023" max="1023" width="16.425781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2" width="14.28515625" customWidth="1"/>
    <col min="1033" max="1033" width="13.7109375" customWidth="1"/>
    <col min="1034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42578125" customWidth="1"/>
    <col min="1279" max="1279" width="16.425781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8" width="14.28515625" customWidth="1"/>
    <col min="1289" max="1289" width="13.7109375" customWidth="1"/>
    <col min="1290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42578125" customWidth="1"/>
    <col min="1535" max="1535" width="16.425781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4" width="14.28515625" customWidth="1"/>
    <col min="1545" max="1545" width="13.7109375" customWidth="1"/>
    <col min="1546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42578125" customWidth="1"/>
    <col min="1791" max="1791" width="16.425781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0" width="14.28515625" customWidth="1"/>
    <col min="1801" max="1801" width="13.7109375" customWidth="1"/>
    <col min="1802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42578125" customWidth="1"/>
    <col min="2047" max="2047" width="16.425781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6" width="14.28515625" customWidth="1"/>
    <col min="2057" max="2057" width="13.7109375" customWidth="1"/>
    <col min="2058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42578125" customWidth="1"/>
    <col min="2303" max="2303" width="16.425781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2" width="14.28515625" customWidth="1"/>
    <col min="2313" max="2313" width="13.7109375" customWidth="1"/>
    <col min="2314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42578125" customWidth="1"/>
    <col min="2559" max="2559" width="16.425781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8" width="14.28515625" customWidth="1"/>
    <col min="2569" max="2569" width="13.7109375" customWidth="1"/>
    <col min="2570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42578125" customWidth="1"/>
    <col min="2815" max="2815" width="16.425781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4" width="14.28515625" customWidth="1"/>
    <col min="2825" max="2825" width="13.7109375" customWidth="1"/>
    <col min="2826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42578125" customWidth="1"/>
    <col min="3071" max="3071" width="16.425781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0" width="14.28515625" customWidth="1"/>
    <col min="3081" max="3081" width="13.7109375" customWidth="1"/>
    <col min="3082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42578125" customWidth="1"/>
    <col min="3327" max="3327" width="16.425781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6" width="14.28515625" customWidth="1"/>
    <col min="3337" max="3337" width="13.7109375" customWidth="1"/>
    <col min="3338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42578125" customWidth="1"/>
    <col min="3583" max="3583" width="16.425781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2" width="14.28515625" customWidth="1"/>
    <col min="3593" max="3593" width="13.7109375" customWidth="1"/>
    <col min="3594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42578125" customWidth="1"/>
    <col min="3839" max="3839" width="16.425781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8" width="14.28515625" customWidth="1"/>
    <col min="3849" max="3849" width="13.7109375" customWidth="1"/>
    <col min="3850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42578125" customWidth="1"/>
    <col min="4095" max="4095" width="16.425781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4" width="14.28515625" customWidth="1"/>
    <col min="4105" max="4105" width="13.7109375" customWidth="1"/>
    <col min="4106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42578125" customWidth="1"/>
    <col min="4351" max="4351" width="16.425781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0" width="14.28515625" customWidth="1"/>
    <col min="4361" max="4361" width="13.7109375" customWidth="1"/>
    <col min="4362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42578125" customWidth="1"/>
    <col min="4607" max="4607" width="16.425781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6" width="14.28515625" customWidth="1"/>
    <col min="4617" max="4617" width="13.7109375" customWidth="1"/>
    <col min="4618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42578125" customWidth="1"/>
    <col min="4863" max="4863" width="16.425781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2" width="14.28515625" customWidth="1"/>
    <col min="4873" max="4873" width="13.7109375" customWidth="1"/>
    <col min="4874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42578125" customWidth="1"/>
    <col min="5119" max="5119" width="16.425781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8" width="14.28515625" customWidth="1"/>
    <col min="5129" max="5129" width="13.7109375" customWidth="1"/>
    <col min="5130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42578125" customWidth="1"/>
    <col min="5375" max="5375" width="16.425781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4" width="14.28515625" customWidth="1"/>
    <col min="5385" max="5385" width="13.7109375" customWidth="1"/>
    <col min="5386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42578125" customWidth="1"/>
    <col min="5631" max="5631" width="16.425781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0" width="14.28515625" customWidth="1"/>
    <col min="5641" max="5641" width="13.7109375" customWidth="1"/>
    <col min="5642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42578125" customWidth="1"/>
    <col min="5887" max="5887" width="16.425781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6" width="14.28515625" customWidth="1"/>
    <col min="5897" max="5897" width="13.7109375" customWidth="1"/>
    <col min="5898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42578125" customWidth="1"/>
    <col min="6143" max="6143" width="16.425781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2" width="14.28515625" customWidth="1"/>
    <col min="6153" max="6153" width="13.7109375" customWidth="1"/>
    <col min="6154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42578125" customWidth="1"/>
    <col min="6399" max="6399" width="16.425781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8" width="14.28515625" customWidth="1"/>
    <col min="6409" max="6409" width="13.7109375" customWidth="1"/>
    <col min="6410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42578125" customWidth="1"/>
    <col min="6655" max="6655" width="16.425781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4" width="14.28515625" customWidth="1"/>
    <col min="6665" max="6665" width="13.7109375" customWidth="1"/>
    <col min="6666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42578125" customWidth="1"/>
    <col min="6911" max="6911" width="16.425781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0" width="14.28515625" customWidth="1"/>
    <col min="6921" max="6921" width="13.7109375" customWidth="1"/>
    <col min="6922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42578125" customWidth="1"/>
    <col min="7167" max="7167" width="16.425781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6" width="14.28515625" customWidth="1"/>
    <col min="7177" max="7177" width="13.7109375" customWidth="1"/>
    <col min="7178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42578125" customWidth="1"/>
    <col min="7423" max="7423" width="16.425781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2" width="14.28515625" customWidth="1"/>
    <col min="7433" max="7433" width="13.7109375" customWidth="1"/>
    <col min="7434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42578125" customWidth="1"/>
    <col min="7679" max="7679" width="16.425781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8" width="14.28515625" customWidth="1"/>
    <col min="7689" max="7689" width="13.7109375" customWidth="1"/>
    <col min="7690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42578125" customWidth="1"/>
    <col min="7935" max="7935" width="16.425781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4" width="14.28515625" customWidth="1"/>
    <col min="7945" max="7945" width="13.7109375" customWidth="1"/>
    <col min="7946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42578125" customWidth="1"/>
    <col min="8191" max="8191" width="16.425781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0" width="14.28515625" customWidth="1"/>
    <col min="8201" max="8201" width="13.7109375" customWidth="1"/>
    <col min="8202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42578125" customWidth="1"/>
    <col min="8447" max="8447" width="16.425781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6" width="14.28515625" customWidth="1"/>
    <col min="8457" max="8457" width="13.7109375" customWidth="1"/>
    <col min="8458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42578125" customWidth="1"/>
    <col min="8703" max="8703" width="16.425781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2" width="14.28515625" customWidth="1"/>
    <col min="8713" max="8713" width="13.7109375" customWidth="1"/>
    <col min="8714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42578125" customWidth="1"/>
    <col min="8959" max="8959" width="16.425781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8" width="14.28515625" customWidth="1"/>
    <col min="8969" max="8969" width="13.7109375" customWidth="1"/>
    <col min="8970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42578125" customWidth="1"/>
    <col min="9215" max="9215" width="16.425781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4" width="14.28515625" customWidth="1"/>
    <col min="9225" max="9225" width="13.7109375" customWidth="1"/>
    <col min="9226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42578125" customWidth="1"/>
    <col min="9471" max="9471" width="16.425781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0" width="14.28515625" customWidth="1"/>
    <col min="9481" max="9481" width="13.7109375" customWidth="1"/>
    <col min="9482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42578125" customWidth="1"/>
    <col min="9727" max="9727" width="16.425781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6" width="14.28515625" customWidth="1"/>
    <col min="9737" max="9737" width="13.7109375" customWidth="1"/>
    <col min="9738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42578125" customWidth="1"/>
    <col min="9983" max="9983" width="16.425781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2" width="14.28515625" customWidth="1"/>
    <col min="9993" max="9993" width="13.7109375" customWidth="1"/>
    <col min="9994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42578125" customWidth="1"/>
    <col min="10239" max="10239" width="16.425781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8" width="14.28515625" customWidth="1"/>
    <col min="10249" max="10249" width="13.7109375" customWidth="1"/>
    <col min="10250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42578125" customWidth="1"/>
    <col min="10495" max="10495" width="16.425781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4" width="14.28515625" customWidth="1"/>
    <col min="10505" max="10505" width="13.7109375" customWidth="1"/>
    <col min="10506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42578125" customWidth="1"/>
    <col min="10751" max="10751" width="16.425781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0" width="14.28515625" customWidth="1"/>
    <col min="10761" max="10761" width="13.7109375" customWidth="1"/>
    <col min="10762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42578125" customWidth="1"/>
    <col min="11007" max="11007" width="16.425781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6" width="14.28515625" customWidth="1"/>
    <col min="11017" max="11017" width="13.7109375" customWidth="1"/>
    <col min="11018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42578125" customWidth="1"/>
    <col min="11263" max="11263" width="16.425781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2" width="14.28515625" customWidth="1"/>
    <col min="11273" max="11273" width="13.7109375" customWidth="1"/>
    <col min="11274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42578125" customWidth="1"/>
    <col min="11519" max="11519" width="16.425781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8" width="14.28515625" customWidth="1"/>
    <col min="11529" max="11529" width="13.7109375" customWidth="1"/>
    <col min="11530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42578125" customWidth="1"/>
    <col min="11775" max="11775" width="16.425781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4" width="14.28515625" customWidth="1"/>
    <col min="11785" max="11785" width="13.7109375" customWidth="1"/>
    <col min="11786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42578125" customWidth="1"/>
    <col min="12031" max="12031" width="16.425781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0" width="14.28515625" customWidth="1"/>
    <col min="12041" max="12041" width="13.7109375" customWidth="1"/>
    <col min="12042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42578125" customWidth="1"/>
    <col min="12287" max="12287" width="16.425781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6" width="14.28515625" customWidth="1"/>
    <col min="12297" max="12297" width="13.7109375" customWidth="1"/>
    <col min="12298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42578125" customWidth="1"/>
    <col min="12543" max="12543" width="16.425781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2" width="14.28515625" customWidth="1"/>
    <col min="12553" max="12553" width="13.7109375" customWidth="1"/>
    <col min="12554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42578125" customWidth="1"/>
    <col min="12799" max="12799" width="16.425781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8" width="14.28515625" customWidth="1"/>
    <col min="12809" max="12809" width="13.7109375" customWidth="1"/>
    <col min="12810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42578125" customWidth="1"/>
    <col min="13055" max="13055" width="16.425781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4" width="14.28515625" customWidth="1"/>
    <col min="13065" max="13065" width="13.7109375" customWidth="1"/>
    <col min="13066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42578125" customWidth="1"/>
    <col min="13311" max="13311" width="16.425781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0" width="14.28515625" customWidth="1"/>
    <col min="13321" max="13321" width="13.7109375" customWidth="1"/>
    <col min="13322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42578125" customWidth="1"/>
    <col min="13567" max="13567" width="16.425781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6" width="14.28515625" customWidth="1"/>
    <col min="13577" max="13577" width="13.7109375" customWidth="1"/>
    <col min="13578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42578125" customWidth="1"/>
    <col min="13823" max="13823" width="16.425781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2" width="14.28515625" customWidth="1"/>
    <col min="13833" max="13833" width="13.7109375" customWidth="1"/>
    <col min="13834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42578125" customWidth="1"/>
    <col min="14079" max="14079" width="16.425781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8" width="14.28515625" customWidth="1"/>
    <col min="14089" max="14089" width="13.7109375" customWidth="1"/>
    <col min="14090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42578125" customWidth="1"/>
    <col min="14335" max="14335" width="16.425781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4" width="14.28515625" customWidth="1"/>
    <col min="14345" max="14345" width="13.7109375" customWidth="1"/>
    <col min="14346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42578125" customWidth="1"/>
    <col min="14591" max="14591" width="16.425781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0" width="14.28515625" customWidth="1"/>
    <col min="14601" max="14601" width="13.7109375" customWidth="1"/>
    <col min="14602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42578125" customWidth="1"/>
    <col min="14847" max="14847" width="16.425781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6" width="14.28515625" customWidth="1"/>
    <col min="14857" max="14857" width="13.7109375" customWidth="1"/>
    <col min="14858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42578125" customWidth="1"/>
    <col min="15103" max="15103" width="16.425781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2" width="14.28515625" customWidth="1"/>
    <col min="15113" max="15113" width="13.7109375" customWidth="1"/>
    <col min="15114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42578125" customWidth="1"/>
    <col min="15359" max="15359" width="16.425781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8" width="14.28515625" customWidth="1"/>
    <col min="15369" max="15369" width="13.7109375" customWidth="1"/>
    <col min="15370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42578125" customWidth="1"/>
    <col min="15615" max="15615" width="16.425781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4" width="14.28515625" customWidth="1"/>
    <col min="15625" max="15625" width="13.7109375" customWidth="1"/>
    <col min="15626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42578125" customWidth="1"/>
    <col min="15871" max="15871" width="16.425781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0" width="14.28515625" customWidth="1"/>
    <col min="15881" max="15881" width="13.7109375" customWidth="1"/>
    <col min="15882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42578125" customWidth="1"/>
    <col min="16127" max="16127" width="16.425781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6" width="14.28515625" customWidth="1"/>
    <col min="16137" max="16137" width="13.7109375" customWidth="1"/>
    <col min="16138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3" spans="2:37" s="7" customFormat="1" ht="18.75" thickBot="1">
      <c r="B3" s="357" t="s">
        <v>170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65"/>
      <c r="N3" s="365"/>
      <c r="O3" s="365"/>
      <c r="P3" s="365"/>
      <c r="Q3" s="365"/>
      <c r="R3" s="365"/>
      <c r="S3" s="365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2:37" s="7" customFormat="1" ht="32.25" customHeight="1" thickBot="1">
      <c r="B4" s="86"/>
      <c r="C4" s="86"/>
      <c r="D4" s="86"/>
      <c r="E4" s="225"/>
      <c r="F4" s="162"/>
      <c r="G4" s="162"/>
      <c r="H4" s="162"/>
      <c r="I4" s="86"/>
      <c r="J4" s="86"/>
      <c r="K4" s="86"/>
      <c r="L4" s="86"/>
      <c r="M4" s="366" t="s">
        <v>26</v>
      </c>
      <c r="N4" s="367"/>
      <c r="O4" s="368"/>
      <c r="P4" s="275" t="s">
        <v>33</v>
      </c>
      <c r="Q4" s="367" t="s">
        <v>34</v>
      </c>
      <c r="R4" s="367"/>
      <c r="S4" s="36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2:37" ht="26.25" thickBot="1">
      <c r="B5" s="267" t="s">
        <v>0</v>
      </c>
      <c r="C5" s="265" t="s">
        <v>165</v>
      </c>
      <c r="D5" s="266" t="s">
        <v>1</v>
      </c>
      <c r="E5" s="267" t="s">
        <v>481</v>
      </c>
      <c r="F5" s="267" t="s">
        <v>115</v>
      </c>
      <c r="G5" s="268" t="s">
        <v>164</v>
      </c>
      <c r="H5" s="267" t="s">
        <v>116</v>
      </c>
      <c r="I5" s="267" t="s">
        <v>2</v>
      </c>
      <c r="J5" s="370" t="s">
        <v>3</v>
      </c>
      <c r="K5" s="370"/>
      <c r="L5" s="371"/>
      <c r="M5" s="269" t="s">
        <v>27</v>
      </c>
      <c r="N5" s="270" t="s">
        <v>28</v>
      </c>
      <c r="O5" s="271" t="s">
        <v>29</v>
      </c>
      <c r="P5" s="271" t="s">
        <v>27</v>
      </c>
      <c r="Q5" s="272" t="s">
        <v>4</v>
      </c>
      <c r="R5" s="273" t="s">
        <v>5</v>
      </c>
      <c r="S5" s="274" t="s">
        <v>6</v>
      </c>
    </row>
    <row r="6" spans="2:37" s="16" customFormat="1" ht="33.75">
      <c r="B6" s="106">
        <v>1</v>
      </c>
      <c r="C6" s="188" t="s">
        <v>270</v>
      </c>
      <c r="D6" s="111" t="s">
        <v>300</v>
      </c>
      <c r="E6" s="232" t="s">
        <v>528</v>
      </c>
      <c r="F6" s="215" t="s">
        <v>301</v>
      </c>
      <c r="G6" s="215" t="s">
        <v>339</v>
      </c>
      <c r="H6" s="109" t="str">
        <f t="shared" ref="H6:H24" si="0">UPPER(G6)</f>
        <v>MINISTRAR TREINAMENTO TREINAMENTO AGHUSE HOSPITAL DO EXÉRCITO - MÓDULOS EXAMES - IMAGENS</v>
      </c>
      <c r="I6" s="109" t="s">
        <v>65</v>
      </c>
      <c r="J6" s="150">
        <v>43556</v>
      </c>
      <c r="K6" s="111">
        <v>7</v>
      </c>
      <c r="L6" s="112">
        <v>12</v>
      </c>
      <c r="M6" s="124"/>
      <c r="N6" s="124">
        <v>43.11</v>
      </c>
      <c r="O6" s="124"/>
      <c r="P6" s="118">
        <f>40+34.8+36.85+41.78+45+39</f>
        <v>237.43</v>
      </c>
      <c r="Q6" s="113">
        <f>1398.98+1285.39</f>
        <v>2684.37</v>
      </c>
      <c r="R6" s="114">
        <f>1489.25+212.17</f>
        <v>1701.42</v>
      </c>
      <c r="S6" s="115">
        <f t="shared" ref="S6:S24" si="1">M6+N6+O6+P6+Q6+R6</f>
        <v>4666.33</v>
      </c>
      <c r="T6" s="15"/>
      <c r="U6" s="15"/>
      <c r="V6" s="15"/>
      <c r="W6" s="15"/>
    </row>
    <row r="7" spans="2:37" s="16" customFormat="1" ht="33.75">
      <c r="B7" s="94">
        <v>2</v>
      </c>
      <c r="C7" s="189" t="s">
        <v>271</v>
      </c>
      <c r="D7" s="10" t="s">
        <v>302</v>
      </c>
      <c r="E7" s="230" t="s">
        <v>529</v>
      </c>
      <c r="F7" s="163" t="s">
        <v>303</v>
      </c>
      <c r="G7" s="202" t="s">
        <v>339</v>
      </c>
      <c r="H7" s="9" t="str">
        <f t="shared" si="0"/>
        <v>MINISTRAR TREINAMENTO TREINAMENTO AGHUSE HOSPITAL DO EXÉRCITO - MÓDULOS EXAMES - IMAGENS</v>
      </c>
      <c r="I7" s="9" t="s">
        <v>65</v>
      </c>
      <c r="J7" s="155">
        <v>43556</v>
      </c>
      <c r="K7" s="10">
        <v>7</v>
      </c>
      <c r="L7" s="11">
        <v>12</v>
      </c>
      <c r="M7" s="57"/>
      <c r="N7" s="57">
        <v>83.46</v>
      </c>
      <c r="O7" s="57"/>
      <c r="P7" s="54">
        <f>81+43.23+41.78+42.65+47+35+39.75+31.92+49.32+83.5</f>
        <v>495.15</v>
      </c>
      <c r="Q7" s="13">
        <v>2896.37</v>
      </c>
      <c r="R7" s="14">
        <f>1489.25+336.05</f>
        <v>1825.3</v>
      </c>
      <c r="S7" s="93">
        <f t="shared" si="1"/>
        <v>5300.28</v>
      </c>
      <c r="T7" s="15"/>
      <c r="U7" s="15"/>
      <c r="V7" s="15"/>
      <c r="W7" s="15"/>
    </row>
    <row r="8" spans="2:37" s="16" customFormat="1" ht="22.5">
      <c r="B8" s="94">
        <v>3</v>
      </c>
      <c r="C8" s="190" t="s">
        <v>272</v>
      </c>
      <c r="D8" s="10" t="s">
        <v>304</v>
      </c>
      <c r="E8" s="230" t="s">
        <v>530</v>
      </c>
      <c r="F8" s="210" t="s">
        <v>305</v>
      </c>
      <c r="G8" s="164" t="s">
        <v>340</v>
      </c>
      <c r="H8" s="9" t="str">
        <f t="shared" si="0"/>
        <v>ASSEMBLEIA GERAL EXTRAORDINÁRIA E ORDINÁRIA</v>
      </c>
      <c r="I8" s="9" t="s">
        <v>356</v>
      </c>
      <c r="J8" s="17">
        <v>43556</v>
      </c>
      <c r="K8" s="10">
        <v>14</v>
      </c>
      <c r="L8" s="11">
        <v>15</v>
      </c>
      <c r="M8" s="57"/>
      <c r="N8" s="57">
        <v>89.92</v>
      </c>
      <c r="O8" s="57"/>
      <c r="P8" s="54">
        <v>0</v>
      </c>
      <c r="Q8" s="13">
        <v>1752.37</v>
      </c>
      <c r="R8" s="14">
        <f>359.7+70.4</f>
        <v>430.1</v>
      </c>
      <c r="S8" s="93">
        <f t="shared" si="1"/>
        <v>2272.39</v>
      </c>
      <c r="T8" s="15"/>
      <c r="U8" s="15"/>
      <c r="V8" s="15"/>
      <c r="W8" s="15"/>
    </row>
    <row r="9" spans="2:37" s="16" customFormat="1" ht="22.5">
      <c r="B9" s="94">
        <v>4</v>
      </c>
      <c r="C9" s="190" t="s">
        <v>273</v>
      </c>
      <c r="D9" s="10" t="s">
        <v>59</v>
      </c>
      <c r="E9" s="230" t="s">
        <v>487</v>
      </c>
      <c r="F9" s="210" t="s">
        <v>119</v>
      </c>
      <c r="G9" s="164" t="s">
        <v>340</v>
      </c>
      <c r="H9" s="9" t="str">
        <f t="shared" si="0"/>
        <v>ASSEMBLEIA GERAL EXTRAORDINÁRIA E ORDINÁRIA</v>
      </c>
      <c r="I9" s="9" t="s">
        <v>356</v>
      </c>
      <c r="J9" s="17">
        <v>43556</v>
      </c>
      <c r="K9" s="10">
        <v>14</v>
      </c>
      <c r="L9" s="11">
        <v>15</v>
      </c>
      <c r="M9" s="57"/>
      <c r="N9" s="57"/>
      <c r="O9" s="57"/>
      <c r="P9" s="54">
        <v>36</v>
      </c>
      <c r="Q9" s="13">
        <v>1752.37</v>
      </c>
      <c r="R9" s="14">
        <f>359.7+74.15</f>
        <v>433.85</v>
      </c>
      <c r="S9" s="93">
        <f t="shared" si="1"/>
        <v>2222.2199999999998</v>
      </c>
      <c r="T9" s="15"/>
      <c r="U9" s="15"/>
      <c r="V9" s="15"/>
      <c r="W9" s="15"/>
    </row>
    <row r="10" spans="2:37" s="16" customFormat="1" ht="56.25">
      <c r="B10" s="94">
        <v>5</v>
      </c>
      <c r="C10" s="190" t="s">
        <v>274</v>
      </c>
      <c r="D10" s="211" t="s">
        <v>306</v>
      </c>
      <c r="E10" s="230" t="s">
        <v>531</v>
      </c>
      <c r="F10" s="163" t="s">
        <v>307</v>
      </c>
      <c r="G10" s="164" t="s">
        <v>341</v>
      </c>
      <c r="H10" s="9" t="str">
        <f t="shared" si="0"/>
        <v>PARTICIPAR DO SEMINÁRIO NACIONAL FISCALIZAÇÃO E GERENCIAMENTO DOS CONTRATOS DE OBRAS PÚBLICAS, QUE SERÁ REALIZADO EM FLORIANÓPOLIS - SC, EM 08 E 09 DE ABRIL DE 2019.</v>
      </c>
      <c r="I10" s="9" t="s">
        <v>357</v>
      </c>
      <c r="J10" s="17">
        <v>43556</v>
      </c>
      <c r="K10" s="10">
        <v>7</v>
      </c>
      <c r="L10" s="11">
        <v>9</v>
      </c>
      <c r="M10" s="57">
        <v>104</v>
      </c>
      <c r="N10" s="57">
        <v>160.43</v>
      </c>
      <c r="O10" s="57"/>
      <c r="P10" s="54">
        <f>14+12</f>
        <v>26</v>
      </c>
      <c r="Q10" s="13">
        <f>672.98+1192.08</f>
        <v>1865.06</v>
      </c>
      <c r="R10" s="14">
        <v>408</v>
      </c>
      <c r="S10" s="93">
        <f t="shared" si="1"/>
        <v>2563.4899999999998</v>
      </c>
      <c r="T10" s="15"/>
      <c r="U10" s="15"/>
      <c r="V10" s="15"/>
      <c r="W10" s="15"/>
    </row>
    <row r="11" spans="2:37" s="16" customFormat="1" ht="12.75">
      <c r="B11" s="94">
        <v>6</v>
      </c>
      <c r="C11" s="189" t="s">
        <v>275</v>
      </c>
      <c r="D11" s="10" t="s">
        <v>57</v>
      </c>
      <c r="E11" s="230" t="s">
        <v>482</v>
      </c>
      <c r="F11" s="9" t="s">
        <v>202</v>
      </c>
      <c r="G11" s="10" t="s">
        <v>342</v>
      </c>
      <c r="H11" s="9" t="str">
        <f t="shared" si="0"/>
        <v>REUNIÃO DO CONSELHO DIRETOR</v>
      </c>
      <c r="I11" s="10" t="s">
        <v>356</v>
      </c>
      <c r="J11" s="17">
        <v>43557</v>
      </c>
      <c r="K11" s="10">
        <v>22</v>
      </c>
      <c r="L11" s="11">
        <v>22</v>
      </c>
      <c r="M11" s="57"/>
      <c r="N11" s="57"/>
      <c r="O11" s="57"/>
      <c r="P11" s="54">
        <v>0</v>
      </c>
      <c r="Q11" s="13">
        <f>1024.39+1530.98</f>
        <v>2555.37</v>
      </c>
      <c r="R11" s="14">
        <v>0</v>
      </c>
      <c r="S11" s="93">
        <f t="shared" si="1"/>
        <v>2555.37</v>
      </c>
      <c r="T11" s="15"/>
      <c r="U11" s="15"/>
      <c r="V11" s="15"/>
      <c r="W11" s="15"/>
    </row>
    <row r="12" spans="2:37" s="16" customFormat="1" ht="12.75">
      <c r="B12" s="94">
        <v>7</v>
      </c>
      <c r="C12" s="189" t="s">
        <v>276</v>
      </c>
      <c r="D12" s="10" t="s">
        <v>58</v>
      </c>
      <c r="E12" s="251" t="s">
        <v>486</v>
      </c>
      <c r="F12" s="9" t="s">
        <v>202</v>
      </c>
      <c r="G12" s="10" t="s">
        <v>342</v>
      </c>
      <c r="H12" s="9" t="str">
        <f t="shared" si="0"/>
        <v>REUNIÃO DO CONSELHO DIRETOR</v>
      </c>
      <c r="I12" s="10" t="s">
        <v>356</v>
      </c>
      <c r="J12" s="17">
        <v>43558</v>
      </c>
      <c r="K12" s="10">
        <v>22</v>
      </c>
      <c r="L12" s="11">
        <v>22</v>
      </c>
      <c r="M12" s="57"/>
      <c r="N12" s="57"/>
      <c r="O12" s="57"/>
      <c r="P12" s="54">
        <v>0</v>
      </c>
      <c r="Q12" s="13">
        <f>1024.39+628.1</f>
        <v>1652.4900000000002</v>
      </c>
      <c r="R12" s="14">
        <v>0</v>
      </c>
      <c r="S12" s="93">
        <f t="shared" si="1"/>
        <v>1652.4900000000002</v>
      </c>
      <c r="T12" s="15"/>
      <c r="U12" s="15"/>
      <c r="V12" s="15"/>
      <c r="W12" s="15"/>
    </row>
    <row r="13" spans="2:37" s="16" customFormat="1" ht="12.75">
      <c r="B13" s="94">
        <v>8</v>
      </c>
      <c r="C13" s="189" t="s">
        <v>277</v>
      </c>
      <c r="D13" s="10" t="s">
        <v>107</v>
      </c>
      <c r="E13" s="230" t="s">
        <v>483</v>
      </c>
      <c r="F13" s="9" t="s">
        <v>202</v>
      </c>
      <c r="G13" s="10" t="s">
        <v>342</v>
      </c>
      <c r="H13" s="9" t="str">
        <f t="shared" si="0"/>
        <v>REUNIÃO DO CONSELHO DIRETOR</v>
      </c>
      <c r="I13" s="10" t="s">
        <v>108</v>
      </c>
      <c r="J13" s="17">
        <v>43559</v>
      </c>
      <c r="K13" s="10">
        <v>22</v>
      </c>
      <c r="L13" s="11">
        <v>22</v>
      </c>
      <c r="M13" s="57"/>
      <c r="N13" s="57"/>
      <c r="O13" s="57"/>
      <c r="P13" s="54">
        <v>0</v>
      </c>
      <c r="Q13" s="13">
        <f>992.05+310</f>
        <v>1302.05</v>
      </c>
      <c r="R13" s="14">
        <v>0</v>
      </c>
      <c r="S13" s="93">
        <f t="shared" si="1"/>
        <v>1302.05</v>
      </c>
      <c r="T13" s="15"/>
      <c r="U13" s="15"/>
      <c r="V13" s="15"/>
      <c r="W13" s="15"/>
    </row>
    <row r="14" spans="2:37" s="16" customFormat="1" ht="22.5">
      <c r="B14" s="94">
        <v>9</v>
      </c>
      <c r="C14" s="189" t="s">
        <v>278</v>
      </c>
      <c r="D14" s="10" t="s">
        <v>308</v>
      </c>
      <c r="E14" s="230" t="s">
        <v>532</v>
      </c>
      <c r="F14" s="164" t="s">
        <v>136</v>
      </c>
      <c r="G14" s="193" t="s">
        <v>343</v>
      </c>
      <c r="H14" s="9" t="str">
        <f t="shared" si="0"/>
        <v>MINISTRAR TREINAMENTO - PROJETO AGHUSE - SESAB - MÓDULO INTERN. ADM. E ASSISTENCIAL.</v>
      </c>
      <c r="I14" s="10" t="s">
        <v>72</v>
      </c>
      <c r="J14" s="17">
        <v>43556</v>
      </c>
      <c r="K14" s="10">
        <v>14</v>
      </c>
      <c r="L14" s="11">
        <v>18</v>
      </c>
      <c r="M14" s="57">
        <v>33.380000000000003</v>
      </c>
      <c r="N14" s="57">
        <v>274.57</v>
      </c>
      <c r="O14" s="57"/>
      <c r="P14" s="161">
        <v>0</v>
      </c>
      <c r="Q14" s="13">
        <v>3791.96</v>
      </c>
      <c r="R14" s="14">
        <f>1066.8+83</f>
        <v>1149.8</v>
      </c>
      <c r="S14" s="93">
        <f t="shared" si="1"/>
        <v>5249.71</v>
      </c>
      <c r="T14" s="15"/>
      <c r="U14" s="15"/>
      <c r="V14" s="15"/>
      <c r="W14" s="15"/>
    </row>
    <row r="15" spans="2:37" s="16" customFormat="1" ht="22.5">
      <c r="B15" s="94">
        <v>10</v>
      </c>
      <c r="C15" s="189" t="s">
        <v>279</v>
      </c>
      <c r="D15" s="10" t="s">
        <v>112</v>
      </c>
      <c r="E15" s="230" t="s">
        <v>498</v>
      </c>
      <c r="F15" s="164" t="s">
        <v>160</v>
      </c>
      <c r="G15" s="193" t="s">
        <v>343</v>
      </c>
      <c r="H15" s="196" t="str">
        <f t="shared" si="0"/>
        <v>MINISTRAR TREINAMENTO - PROJETO AGHUSE - SESAB - MÓDULO INTERN. ADM. E ASSISTENCIAL.</v>
      </c>
      <c r="I15" s="10" t="s">
        <v>72</v>
      </c>
      <c r="J15" s="17">
        <v>43556</v>
      </c>
      <c r="K15" s="10">
        <v>14</v>
      </c>
      <c r="L15" s="11">
        <v>18</v>
      </c>
      <c r="M15" s="57">
        <v>97.97</v>
      </c>
      <c r="N15" s="57">
        <v>433.97</v>
      </c>
      <c r="O15" s="57"/>
      <c r="P15" s="161">
        <v>0</v>
      </c>
      <c r="Q15" s="13">
        <f>1588.98+1305.98</f>
        <v>2894.96</v>
      </c>
      <c r="R15" s="14">
        <f>1066.8+118</f>
        <v>1184.8</v>
      </c>
      <c r="S15" s="93">
        <f t="shared" si="1"/>
        <v>4611.7</v>
      </c>
      <c r="T15" s="15"/>
      <c r="U15" s="15"/>
      <c r="V15" s="15"/>
      <c r="W15" s="15"/>
    </row>
    <row r="16" spans="2:37" s="16" customFormat="1" ht="22.5">
      <c r="B16" s="94">
        <v>11</v>
      </c>
      <c r="C16" s="189" t="s">
        <v>280</v>
      </c>
      <c r="D16" s="10" t="s">
        <v>71</v>
      </c>
      <c r="E16" s="255" t="s">
        <v>485</v>
      </c>
      <c r="F16" s="163" t="s">
        <v>131</v>
      </c>
      <c r="G16" s="193" t="s">
        <v>343</v>
      </c>
      <c r="H16" s="9" t="str">
        <f t="shared" si="0"/>
        <v>MINISTRAR TREINAMENTO - PROJETO AGHUSE - SESAB - MÓDULO INTERN. ADM. E ASSISTENCIAL.</v>
      </c>
      <c r="I16" s="10" t="s">
        <v>72</v>
      </c>
      <c r="J16" s="17">
        <v>43556</v>
      </c>
      <c r="K16" s="10">
        <v>14</v>
      </c>
      <c r="L16" s="11">
        <v>18</v>
      </c>
      <c r="M16" s="57">
        <v>164.74</v>
      </c>
      <c r="N16" s="57">
        <v>375.42</v>
      </c>
      <c r="O16" s="57"/>
      <c r="P16" s="161">
        <v>0</v>
      </c>
      <c r="Q16" s="13">
        <v>3177.96</v>
      </c>
      <c r="R16" s="14">
        <f>1066.8+24</f>
        <v>1090.8</v>
      </c>
      <c r="S16" s="93">
        <f t="shared" si="1"/>
        <v>4808.92</v>
      </c>
      <c r="T16" s="15"/>
      <c r="U16" s="15"/>
      <c r="V16" s="15"/>
      <c r="W16" s="15"/>
    </row>
    <row r="17" spans="2:23" s="16" customFormat="1" ht="22.5">
      <c r="B17" s="94">
        <v>12</v>
      </c>
      <c r="C17" s="189" t="s">
        <v>281</v>
      </c>
      <c r="D17" s="10" t="s">
        <v>102</v>
      </c>
      <c r="E17" s="238" t="s">
        <v>496</v>
      </c>
      <c r="F17" s="164" t="s">
        <v>309</v>
      </c>
      <c r="G17" s="164" t="s">
        <v>344</v>
      </c>
      <c r="H17" s="9" t="str">
        <f t="shared" si="0"/>
        <v>REUNIÃO COM DIRETORIA DA EBSERH SOBRE O SISTEMA AGHUSE</v>
      </c>
      <c r="I17" s="10" t="s">
        <v>65</v>
      </c>
      <c r="J17" s="17">
        <v>43556</v>
      </c>
      <c r="K17" s="10">
        <v>23</v>
      </c>
      <c r="L17" s="11">
        <v>24</v>
      </c>
      <c r="M17" s="57">
        <v>117.52</v>
      </c>
      <c r="N17" s="57">
        <v>215.17</v>
      </c>
      <c r="O17" s="57"/>
      <c r="P17" s="54">
        <v>0</v>
      </c>
      <c r="Q17" s="13">
        <v>1514.37</v>
      </c>
      <c r="R17" s="14">
        <f>401.94+106.48</f>
        <v>508.42</v>
      </c>
      <c r="S17" s="93">
        <f t="shared" si="1"/>
        <v>2355.48</v>
      </c>
      <c r="T17" s="15"/>
      <c r="U17" s="15"/>
      <c r="V17" s="15"/>
      <c r="W17" s="15"/>
    </row>
    <row r="18" spans="2:23" s="16" customFormat="1" ht="22.5">
      <c r="B18" s="94">
        <v>13</v>
      </c>
      <c r="C18" s="189" t="s">
        <v>282</v>
      </c>
      <c r="D18" s="10" t="s">
        <v>104</v>
      </c>
      <c r="E18" s="238" t="s">
        <v>505</v>
      </c>
      <c r="F18" s="164" t="s">
        <v>310</v>
      </c>
      <c r="G18" s="164" t="s">
        <v>344</v>
      </c>
      <c r="H18" s="9" t="str">
        <f t="shared" si="0"/>
        <v>REUNIÃO COM DIRETORIA DA EBSERH SOBRE O SISTEMA AGHUSE</v>
      </c>
      <c r="I18" s="10" t="s">
        <v>65</v>
      </c>
      <c r="J18" s="17">
        <v>43556</v>
      </c>
      <c r="K18" s="10">
        <v>23</v>
      </c>
      <c r="L18" s="11">
        <v>24</v>
      </c>
      <c r="M18" s="57">
        <v>94.84</v>
      </c>
      <c r="N18" s="57">
        <v>220.73</v>
      </c>
      <c r="O18" s="57"/>
      <c r="P18" s="54">
        <v>0</v>
      </c>
      <c r="Q18" s="13">
        <v>1514.37</v>
      </c>
      <c r="R18" s="14">
        <f>401.94+95.59</f>
        <v>497.53</v>
      </c>
      <c r="S18" s="93">
        <f t="shared" si="1"/>
        <v>2327.4699999999998</v>
      </c>
      <c r="T18" s="15"/>
      <c r="U18" s="15"/>
      <c r="V18" s="15"/>
      <c r="W18" s="15"/>
    </row>
    <row r="19" spans="2:23" s="16" customFormat="1" ht="33.75">
      <c r="B19" s="94">
        <v>14</v>
      </c>
      <c r="C19" s="189" t="s">
        <v>283</v>
      </c>
      <c r="D19" s="9" t="s">
        <v>311</v>
      </c>
      <c r="E19" s="238" t="s">
        <v>533</v>
      </c>
      <c r="F19" s="164" t="s">
        <v>312</v>
      </c>
      <c r="G19" s="164" t="s">
        <v>345</v>
      </c>
      <c r="H19" s="9" t="str">
        <f t="shared" si="0"/>
        <v>PARTICIPAÇÃO NO I SIMPÓSIO SOBRE EXPOSIÇÃO OCUPACIONAL A RADIAÇÕES IONIZANTES NO BRASIL</v>
      </c>
      <c r="I19" s="9" t="s">
        <v>358</v>
      </c>
      <c r="J19" s="155">
        <v>43556</v>
      </c>
      <c r="K19" s="10">
        <v>22</v>
      </c>
      <c r="L19" s="11">
        <v>24</v>
      </c>
      <c r="M19" s="57">
        <v>0</v>
      </c>
      <c r="N19" s="57">
        <v>0</v>
      </c>
      <c r="O19" s="57"/>
      <c r="P19" s="54">
        <v>0</v>
      </c>
      <c r="Q19" s="13">
        <v>1694.82</v>
      </c>
      <c r="R19" s="14">
        <v>536</v>
      </c>
      <c r="S19" s="93">
        <f t="shared" si="1"/>
        <v>2230.8199999999997</v>
      </c>
      <c r="T19" s="15"/>
      <c r="U19" s="15"/>
      <c r="V19" s="15"/>
      <c r="W19" s="15"/>
    </row>
    <row r="20" spans="2:23" s="16" customFormat="1" ht="22.5">
      <c r="B20" s="94">
        <v>15</v>
      </c>
      <c r="C20" s="189" t="s">
        <v>287</v>
      </c>
      <c r="D20" s="9" t="s">
        <v>97</v>
      </c>
      <c r="E20" s="238" t="s">
        <v>500</v>
      </c>
      <c r="F20" s="9" t="s">
        <v>321</v>
      </c>
      <c r="G20" s="164" t="s">
        <v>349</v>
      </c>
      <c r="H20" s="9" t="str">
        <f t="shared" si="0"/>
        <v>REPRESENTAR O HCPA NA ASSEMBLEIA GERAL ORDINÁRIA - AGO DA ABRAHUE,</v>
      </c>
      <c r="I20" s="9" t="s">
        <v>65</v>
      </c>
      <c r="J20" s="17">
        <v>43556</v>
      </c>
      <c r="K20" s="10">
        <v>30</v>
      </c>
      <c r="L20" s="11">
        <v>30</v>
      </c>
      <c r="M20" s="57">
        <v>0</v>
      </c>
      <c r="N20" s="57"/>
      <c r="O20" s="57"/>
      <c r="P20" s="54">
        <v>0</v>
      </c>
      <c r="Q20" s="13">
        <v>2110.37</v>
      </c>
      <c r="R20" s="14">
        <v>0</v>
      </c>
      <c r="S20" s="93">
        <f t="shared" si="1"/>
        <v>2110.37</v>
      </c>
      <c r="T20" s="15"/>
      <c r="U20" s="15"/>
      <c r="V20" s="15"/>
      <c r="W20" s="15"/>
    </row>
    <row r="21" spans="2:23" s="16" customFormat="1" ht="67.5">
      <c r="B21" s="94">
        <v>16</v>
      </c>
      <c r="C21" s="189" t="s">
        <v>294</v>
      </c>
      <c r="D21" s="10" t="s">
        <v>329</v>
      </c>
      <c r="E21" s="238" t="s">
        <v>534</v>
      </c>
      <c r="F21" s="10" t="s">
        <v>330</v>
      </c>
      <c r="G21" s="164" t="s">
        <v>353</v>
      </c>
      <c r="H21" s="9" t="str">
        <f t="shared" si="0"/>
        <v>PARTICIPAR DE REUNIÃO SOBRE CUSTOS HOSPITALARES JUNTO AO GRUPO DE TRABALHO DE CUSTOS, COMO ESPECIALISTA NA ÁREA VISANDO UM RELATO DE EXPERIÊNCIA E TROCA DE INFORMAÇÕES, NO PERÍODO DE 29 A 30 DE ABRIL DE 2019.</v>
      </c>
      <c r="I21" s="9" t="s">
        <v>356</v>
      </c>
      <c r="J21" s="17">
        <v>43556</v>
      </c>
      <c r="K21" s="10">
        <v>29</v>
      </c>
      <c r="L21" s="11">
        <v>30</v>
      </c>
      <c r="M21" s="57">
        <v>52.66</v>
      </c>
      <c r="N21" s="57">
        <v>28.5</v>
      </c>
      <c r="O21" s="57"/>
      <c r="P21" s="54">
        <v>31</v>
      </c>
      <c r="Q21" s="13">
        <f>1451.39+1405.98</f>
        <v>2857.37</v>
      </c>
      <c r="R21" s="14">
        <v>268</v>
      </c>
      <c r="S21" s="93">
        <f t="shared" si="1"/>
        <v>3237.5299999999997</v>
      </c>
      <c r="T21" s="15"/>
      <c r="U21" s="15"/>
      <c r="V21" s="15"/>
      <c r="W21" s="15"/>
    </row>
    <row r="22" spans="2:23" s="16" customFormat="1" ht="67.5">
      <c r="B22" s="94">
        <v>17</v>
      </c>
      <c r="C22" s="189" t="s">
        <v>295</v>
      </c>
      <c r="D22" s="10" t="s">
        <v>331</v>
      </c>
      <c r="E22" s="238" t="s">
        <v>535</v>
      </c>
      <c r="F22" s="10" t="s">
        <v>330</v>
      </c>
      <c r="G22" s="164" t="s">
        <v>353</v>
      </c>
      <c r="H22" s="9" t="str">
        <f t="shared" si="0"/>
        <v>PARTICIPAR DE REUNIÃO SOBRE CUSTOS HOSPITALARES JUNTO AO GRUPO DE TRABALHO DE CUSTOS, COMO ESPECIALISTA NA ÁREA VISANDO UM RELATO DE EXPERIÊNCIA E TROCA DE INFORMAÇÕES, NO PERÍODO DE 29 A 30 DE ABRIL DE 2019.</v>
      </c>
      <c r="I22" s="9" t="s">
        <v>356</v>
      </c>
      <c r="J22" s="17">
        <v>43556</v>
      </c>
      <c r="K22" s="10">
        <v>29</v>
      </c>
      <c r="L22" s="11">
        <v>30</v>
      </c>
      <c r="M22" s="57"/>
      <c r="N22" s="57"/>
      <c r="O22" s="57"/>
      <c r="P22" s="161">
        <v>0</v>
      </c>
      <c r="Q22" s="13">
        <f>1451.39+1405.98</f>
        <v>2857.37</v>
      </c>
      <c r="R22" s="14">
        <f>268+44</f>
        <v>312</v>
      </c>
      <c r="S22" s="93">
        <f t="shared" si="1"/>
        <v>3169.37</v>
      </c>
      <c r="T22" s="15"/>
      <c r="U22" s="15"/>
      <c r="V22" s="15"/>
      <c r="W22" s="15"/>
    </row>
    <row r="23" spans="2:23" s="16" customFormat="1" ht="56.25">
      <c r="B23" s="94">
        <v>18</v>
      </c>
      <c r="C23" s="256" t="s">
        <v>296</v>
      </c>
      <c r="D23" s="10" t="s">
        <v>332</v>
      </c>
      <c r="E23" s="238" t="s">
        <v>536</v>
      </c>
      <c r="F23" s="10" t="s">
        <v>333</v>
      </c>
      <c r="G23" s="164" t="s">
        <v>354</v>
      </c>
      <c r="H23" s="9" t="str">
        <f t="shared" si="0"/>
        <v>PARTICIPAR DE REUNIÃO SOBRE CUSTOS HOSPITALARES JUNTO AO GRUPO DE TRABALHO DE CUSTOS, COMO ESPECIALISTA NA ÁREA VISANDO UM RELATO DE EXPERIÊNCIA E TROCA DE INFORMAÇÕES, NA DATA  DE 30 DE ABRIL DE 2019.</v>
      </c>
      <c r="I23" s="9" t="s">
        <v>361</v>
      </c>
      <c r="J23" s="17">
        <v>43556</v>
      </c>
      <c r="K23" s="10">
        <v>30</v>
      </c>
      <c r="L23" s="11">
        <v>30</v>
      </c>
      <c r="M23" s="57"/>
      <c r="N23" s="57">
        <v>28.5</v>
      </c>
      <c r="O23" s="57"/>
      <c r="P23" s="218"/>
      <c r="Q23" s="13">
        <v>2137.83</v>
      </c>
      <c r="R23" s="14">
        <v>0</v>
      </c>
      <c r="S23" s="93">
        <f t="shared" si="1"/>
        <v>2166.33</v>
      </c>
      <c r="T23" s="15"/>
      <c r="U23" s="15"/>
      <c r="V23" s="15"/>
      <c r="W23" s="15"/>
    </row>
    <row r="24" spans="2:23" s="16" customFormat="1" ht="57" thickBot="1">
      <c r="B24" s="95">
        <v>19</v>
      </c>
      <c r="C24" s="191" t="s">
        <v>297</v>
      </c>
      <c r="D24" s="100" t="s">
        <v>334</v>
      </c>
      <c r="E24" s="254" t="s">
        <v>537</v>
      </c>
      <c r="F24" s="100" t="s">
        <v>333</v>
      </c>
      <c r="G24" s="204" t="s">
        <v>354</v>
      </c>
      <c r="H24" s="98" t="str">
        <f t="shared" si="0"/>
        <v>PARTICIPAR DE REUNIÃO SOBRE CUSTOS HOSPITALARES JUNTO AO GRUPO DE TRABALHO DE CUSTOS, COMO ESPECIALISTA NA ÁREA VISANDO UM RELATO DE EXPERIÊNCIA E TROCA DE INFORMAÇÕES, NA DATA  DE 30 DE ABRIL DE 2019.</v>
      </c>
      <c r="I24" s="98" t="s">
        <v>361</v>
      </c>
      <c r="J24" s="99">
        <v>43556</v>
      </c>
      <c r="K24" s="100">
        <v>30</v>
      </c>
      <c r="L24" s="101">
        <v>30</v>
      </c>
      <c r="M24" s="125">
        <v>35</v>
      </c>
      <c r="N24" s="125">
        <v>26</v>
      </c>
      <c r="O24" s="125"/>
      <c r="P24" s="209">
        <v>30.4</v>
      </c>
      <c r="Q24" s="103">
        <v>2137.83</v>
      </c>
      <c r="R24" s="104">
        <v>0</v>
      </c>
      <c r="S24" s="105">
        <f t="shared" si="1"/>
        <v>2229.23</v>
      </c>
      <c r="T24" s="15"/>
      <c r="U24" s="15"/>
      <c r="V24" s="15"/>
      <c r="W24" s="15"/>
    </row>
    <row r="25" spans="2:23" s="15" customFormat="1" ht="12.75" thickBot="1">
      <c r="B25" s="19"/>
      <c r="C25" s="20"/>
      <c r="D25" s="21"/>
      <c r="E25" s="21"/>
      <c r="F25" s="21"/>
      <c r="G25" s="21"/>
      <c r="H25" s="21"/>
      <c r="I25" s="21"/>
      <c r="J25" s="22"/>
      <c r="K25" s="23"/>
      <c r="L25" s="24"/>
      <c r="M25" s="25"/>
      <c r="N25" s="25"/>
      <c r="O25" s="25"/>
      <c r="P25" s="26"/>
      <c r="Q25" s="27"/>
      <c r="R25" s="28"/>
      <c r="S25" s="29"/>
    </row>
    <row r="26" spans="2:23" s="30" customFormat="1" ht="16.5" thickBot="1">
      <c r="B26" s="284" t="s">
        <v>31</v>
      </c>
      <c r="C26" s="31"/>
      <c r="D26" s="147" t="s">
        <v>41</v>
      </c>
      <c r="E26" s="184"/>
      <c r="F26" s="31"/>
      <c r="G26" s="31"/>
      <c r="H26" s="31"/>
      <c r="I26" s="33"/>
      <c r="J26" s="31"/>
      <c r="K26" s="19"/>
      <c r="L26" s="32"/>
      <c r="M26" s="35">
        <f t="shared" ref="M26:R26" si="2">SUM(M6:M24)</f>
        <v>700.11</v>
      </c>
      <c r="N26" s="35">
        <f t="shared" si="2"/>
        <v>1979.7800000000002</v>
      </c>
      <c r="O26" s="35">
        <f t="shared" si="2"/>
        <v>0</v>
      </c>
      <c r="P26" s="120">
        <f t="shared" si="2"/>
        <v>855.9799999999999</v>
      </c>
      <c r="Q26" s="37">
        <f t="shared" si="2"/>
        <v>43149.66</v>
      </c>
      <c r="R26" s="38">
        <f t="shared" si="2"/>
        <v>10346.02</v>
      </c>
      <c r="S26" s="36">
        <f>SUM(S6:S24)+P27</f>
        <v>57040.109800000013</v>
      </c>
    </row>
    <row r="27" spans="2:23" s="39" customFormat="1" ht="16.5" thickBot="1">
      <c r="C27" s="40"/>
      <c r="D27" s="358"/>
      <c r="E27" s="358"/>
      <c r="F27" s="358"/>
      <c r="G27" s="358"/>
      <c r="H27" s="358"/>
      <c r="I27" s="358"/>
      <c r="J27" s="358"/>
      <c r="K27" s="358"/>
      <c r="L27" s="41"/>
      <c r="M27" s="42"/>
      <c r="N27" s="42"/>
      <c r="O27" s="87" t="s">
        <v>31</v>
      </c>
      <c r="P27" s="26">
        <f>P26*1%</f>
        <v>8.5597999999999992</v>
      </c>
      <c r="S27" s="43"/>
    </row>
    <row r="28" spans="2:23" s="39" customFormat="1" ht="16.5" thickBot="1">
      <c r="C28" s="217"/>
      <c r="D28" s="217"/>
      <c r="E28" s="217"/>
      <c r="F28" s="217"/>
      <c r="G28" s="40"/>
      <c r="H28" s="40"/>
      <c r="I28" s="44"/>
      <c r="J28" s="40"/>
      <c r="K28" s="40"/>
      <c r="L28" s="41"/>
      <c r="M28" s="42"/>
      <c r="N28" s="42"/>
      <c r="O28" s="42"/>
      <c r="P28" s="89">
        <f>P26+P27</f>
        <v>864.5397999999999</v>
      </c>
      <c r="Q28" s="45"/>
      <c r="R28" s="43"/>
      <c r="S28" s="46" t="s">
        <v>8</v>
      </c>
    </row>
    <row r="29" spans="2:23" s="39" customFormat="1">
      <c r="C29" s="40"/>
      <c r="D29" s="359"/>
      <c r="E29" s="359"/>
      <c r="F29" s="359"/>
      <c r="G29" s="359"/>
      <c r="H29" s="359"/>
      <c r="I29" s="359"/>
      <c r="J29" s="359"/>
      <c r="K29" s="359"/>
      <c r="L29" s="41"/>
      <c r="M29" s="42"/>
      <c r="N29" s="42"/>
      <c r="O29" s="42"/>
      <c r="P29" s="26"/>
      <c r="Q29" s="5" t="s">
        <v>7</v>
      </c>
      <c r="R29" s="138">
        <f>M26+N26+O26+P28+Q26+R26</f>
        <v>57040.109800000006</v>
      </c>
      <c r="S29" s="47">
        <f>S26-R29</f>
        <v>0</v>
      </c>
    </row>
    <row r="30" spans="2:23" ht="15.75">
      <c r="C30" s="48"/>
      <c r="D30" s="49"/>
      <c r="E30" s="49"/>
      <c r="F30" s="49"/>
      <c r="G30" s="49"/>
      <c r="H30" s="49"/>
      <c r="I30" s="50"/>
      <c r="J30" s="51"/>
      <c r="K30" s="51"/>
      <c r="L30" s="51"/>
      <c r="O30" s="87" t="s">
        <v>31</v>
      </c>
      <c r="P30" s="26" t="s">
        <v>32</v>
      </c>
    </row>
    <row r="31" spans="2:23">
      <c r="C31" s="48"/>
      <c r="D31" s="49"/>
      <c r="E31" s="49"/>
      <c r="F31" s="49"/>
      <c r="G31" s="49"/>
      <c r="H31" s="49"/>
      <c r="I31" s="50"/>
      <c r="J31" s="51"/>
      <c r="K31" s="51"/>
      <c r="L31" s="51"/>
      <c r="P31" s="26"/>
    </row>
    <row r="32" spans="2:23">
      <c r="C32" s="48"/>
      <c r="D32" s="49"/>
      <c r="E32" s="49"/>
      <c r="F32" s="49"/>
      <c r="G32" s="49"/>
      <c r="H32" s="49"/>
      <c r="I32" s="50"/>
      <c r="J32" s="51"/>
      <c r="K32" s="51"/>
      <c r="L32" s="51"/>
      <c r="P32" s="26"/>
    </row>
    <row r="33" spans="3:19">
      <c r="C33" s="48"/>
      <c r="D33" s="49"/>
      <c r="E33" s="49"/>
      <c r="F33" s="49"/>
      <c r="G33" s="49"/>
      <c r="H33" s="49"/>
      <c r="I33" s="50"/>
      <c r="J33" s="51"/>
      <c r="K33" s="51"/>
      <c r="L33" s="51"/>
      <c r="P33" s="26"/>
    </row>
    <row r="34" spans="3:19">
      <c r="C34" s="48"/>
      <c r="D34" s="49"/>
      <c r="E34" s="49"/>
      <c r="F34" s="49"/>
      <c r="G34" s="49"/>
      <c r="H34" s="49"/>
      <c r="I34" s="50"/>
      <c r="J34" s="51"/>
      <c r="K34" s="51"/>
      <c r="L34" s="51"/>
      <c r="P34" s="26"/>
    </row>
    <row r="35" spans="3:19">
      <c r="C35" s="48"/>
      <c r="D35" s="49"/>
      <c r="E35" s="49"/>
      <c r="F35" s="49"/>
      <c r="G35" s="49"/>
      <c r="H35" s="49"/>
      <c r="I35" s="50"/>
      <c r="J35" s="51"/>
      <c r="K35" s="51"/>
      <c r="L35" s="51"/>
      <c r="P35" s="26"/>
    </row>
    <row r="36" spans="3:19">
      <c r="C36" s="48"/>
      <c r="D36" s="49"/>
      <c r="E36" s="49"/>
      <c r="F36" s="49"/>
      <c r="G36" s="49"/>
      <c r="H36" s="49"/>
      <c r="I36" s="50"/>
      <c r="J36" s="51"/>
      <c r="K36" s="51"/>
      <c r="L36" s="51"/>
      <c r="P36" s="26"/>
    </row>
    <row r="37" spans="3:19">
      <c r="C37" s="48"/>
      <c r="D37" s="49"/>
      <c r="E37" s="49"/>
      <c r="F37" s="49"/>
      <c r="G37" s="49"/>
      <c r="H37" s="49"/>
      <c r="I37" s="50"/>
      <c r="J37" s="51"/>
      <c r="K37" s="51"/>
      <c r="L37" s="51"/>
      <c r="P37" s="26"/>
    </row>
    <row r="38" spans="3:19">
      <c r="C38" s="48"/>
      <c r="I38" s="50"/>
      <c r="J38" s="51"/>
      <c r="K38" s="51"/>
      <c r="L38" s="51"/>
      <c r="P38" s="26"/>
    </row>
    <row r="39" spans="3:19">
      <c r="C39" s="48"/>
      <c r="D39" s="49"/>
      <c r="E39" s="49"/>
      <c r="F39" s="49"/>
      <c r="G39" s="49"/>
      <c r="H39" s="49"/>
      <c r="I39" s="50"/>
      <c r="J39" s="51"/>
      <c r="K39" s="51"/>
      <c r="L39" s="51"/>
      <c r="P39" s="26"/>
    </row>
    <row r="40" spans="3:19">
      <c r="C40" s="48"/>
      <c r="D40" s="49"/>
      <c r="E40" s="49"/>
      <c r="F40" s="49"/>
      <c r="G40" s="49"/>
      <c r="H40" s="49"/>
      <c r="I40" s="50"/>
      <c r="J40" s="51"/>
      <c r="K40" s="51"/>
      <c r="L40" s="51"/>
      <c r="P40" s="52"/>
    </row>
    <row r="41" spans="3:19" ht="15.75">
      <c r="C41" s="48"/>
      <c r="D41" s="49"/>
      <c r="E41" s="49"/>
      <c r="F41" s="49"/>
      <c r="G41" s="49"/>
      <c r="H41" s="49"/>
      <c r="I41" s="50"/>
      <c r="J41" s="51"/>
      <c r="K41" s="51"/>
      <c r="L41" s="51"/>
      <c r="P41" s="39"/>
      <c r="Q41"/>
      <c r="R41"/>
      <c r="S41"/>
    </row>
    <row r="42" spans="3:19" ht="15.75">
      <c r="C42" s="48"/>
      <c r="D42" s="49"/>
      <c r="E42" s="49"/>
      <c r="F42" s="49"/>
      <c r="G42" s="49"/>
      <c r="H42" s="49"/>
      <c r="I42" s="50"/>
      <c r="J42" s="51"/>
      <c r="K42" s="51"/>
      <c r="L42" s="51"/>
      <c r="P42" s="39"/>
      <c r="Q42"/>
      <c r="R42"/>
      <c r="S42"/>
    </row>
    <row r="43" spans="3:19" ht="15.75">
      <c r="C43" s="48"/>
      <c r="D43" s="49"/>
      <c r="E43" s="49"/>
      <c r="F43" s="49"/>
      <c r="G43" s="49"/>
      <c r="H43" s="49"/>
      <c r="I43" s="50"/>
      <c r="J43" s="51"/>
      <c r="K43" s="51"/>
      <c r="L43" s="51"/>
      <c r="P43" s="39"/>
      <c r="Q43"/>
      <c r="R43"/>
      <c r="S43"/>
    </row>
    <row r="44" spans="3:19">
      <c r="C44" s="48"/>
      <c r="D44" s="49"/>
      <c r="E44" s="49"/>
      <c r="F44" s="49"/>
      <c r="G44" s="49"/>
      <c r="H44" s="49"/>
      <c r="I44" s="50"/>
      <c r="J44" s="51"/>
      <c r="K44" s="51"/>
      <c r="L44" s="51"/>
      <c r="Q44"/>
      <c r="R44"/>
      <c r="S44"/>
    </row>
    <row r="45" spans="3:19">
      <c r="C45" s="48"/>
      <c r="D45" s="49"/>
      <c r="E45" s="49"/>
      <c r="F45" s="49"/>
      <c r="G45" s="49"/>
      <c r="H45" s="49"/>
      <c r="I45" s="50"/>
      <c r="J45" s="51"/>
      <c r="K45" s="51"/>
      <c r="L45" s="51"/>
      <c r="Q45"/>
      <c r="R45"/>
      <c r="S45"/>
    </row>
    <row r="46" spans="3:19">
      <c r="C46" s="48"/>
      <c r="D46" s="49"/>
      <c r="E46" s="49"/>
      <c r="F46" s="49"/>
      <c r="G46" s="49"/>
      <c r="H46" s="49"/>
      <c r="I46" s="50"/>
      <c r="J46" s="51"/>
      <c r="K46" s="51"/>
      <c r="L46" s="51"/>
      <c r="Q46"/>
      <c r="R46"/>
      <c r="S46"/>
    </row>
    <row r="47" spans="3:19">
      <c r="C47" s="48"/>
      <c r="D47" s="49"/>
      <c r="E47" s="49"/>
      <c r="F47" s="49"/>
      <c r="G47" s="49"/>
      <c r="H47" s="49"/>
      <c r="I47" s="50"/>
      <c r="J47" s="51"/>
      <c r="K47" s="51"/>
      <c r="L47" s="51"/>
      <c r="Q47"/>
      <c r="R47"/>
      <c r="S47"/>
    </row>
    <row r="48" spans="3:19">
      <c r="C48" s="48"/>
      <c r="D48" s="49"/>
      <c r="E48" s="49"/>
      <c r="F48" s="49"/>
      <c r="G48" s="49"/>
      <c r="H48" s="49"/>
      <c r="I48" s="50"/>
      <c r="J48" s="51"/>
      <c r="K48" s="51"/>
      <c r="L48" s="51"/>
      <c r="Q48"/>
      <c r="R48"/>
      <c r="S48"/>
    </row>
    <row r="49" spans="3:19">
      <c r="C49" s="48"/>
      <c r="D49" s="49"/>
      <c r="E49" s="49"/>
      <c r="F49" s="49"/>
      <c r="G49" s="49"/>
      <c r="H49" s="49"/>
      <c r="I49" s="50"/>
      <c r="J49" s="51"/>
      <c r="K49" s="51"/>
      <c r="L49" s="51"/>
      <c r="Q49"/>
      <c r="R49"/>
      <c r="S49"/>
    </row>
    <row r="50" spans="3:19">
      <c r="C50" s="48"/>
      <c r="D50" s="49"/>
      <c r="E50" s="49"/>
      <c r="F50" s="49"/>
      <c r="G50" s="49"/>
      <c r="H50" s="49"/>
      <c r="I50" s="50"/>
      <c r="J50" s="51"/>
      <c r="K50" s="51"/>
      <c r="L50" s="51"/>
      <c r="Q50"/>
      <c r="R50"/>
      <c r="S50"/>
    </row>
    <row r="51" spans="3:19">
      <c r="C51" s="48"/>
      <c r="D51" s="49"/>
      <c r="E51" s="49"/>
      <c r="F51" s="49"/>
      <c r="G51" s="49"/>
      <c r="H51" s="49"/>
      <c r="I51" s="50"/>
      <c r="J51" s="51"/>
      <c r="K51" s="51"/>
      <c r="L51" s="51"/>
      <c r="Q51"/>
      <c r="R51"/>
      <c r="S51"/>
    </row>
    <row r="52" spans="3:19">
      <c r="C52" s="48"/>
      <c r="D52" s="49"/>
      <c r="E52" s="49"/>
      <c r="F52" s="49"/>
      <c r="G52" s="49"/>
      <c r="H52" s="49"/>
      <c r="I52" s="50"/>
      <c r="J52" s="51"/>
      <c r="K52" s="51"/>
      <c r="L52" s="51"/>
      <c r="Q52"/>
      <c r="R52"/>
      <c r="S52"/>
    </row>
    <row r="53" spans="3:19">
      <c r="C53" s="48"/>
      <c r="D53" s="49"/>
      <c r="E53" s="49"/>
      <c r="F53" s="49"/>
      <c r="G53" s="49"/>
      <c r="H53" s="49"/>
      <c r="I53" s="50"/>
      <c r="J53" s="51"/>
      <c r="K53" s="51"/>
      <c r="L53" s="51"/>
      <c r="Q53"/>
      <c r="R53"/>
      <c r="S53"/>
    </row>
    <row r="54" spans="3:19">
      <c r="C54" s="48"/>
      <c r="D54" s="49"/>
      <c r="E54" s="49"/>
      <c r="F54" s="49"/>
      <c r="G54" s="49"/>
      <c r="H54" s="49"/>
      <c r="I54" s="50"/>
      <c r="J54" s="51"/>
      <c r="K54" s="51"/>
      <c r="L54" s="51"/>
      <c r="Q54"/>
      <c r="R54"/>
      <c r="S54"/>
    </row>
    <row r="55" spans="3:19">
      <c r="C55" s="48"/>
      <c r="D55" s="49"/>
      <c r="E55" s="49"/>
      <c r="F55" s="49"/>
      <c r="G55" s="49"/>
      <c r="H55" s="49"/>
      <c r="I55" s="50"/>
      <c r="J55" s="51"/>
      <c r="K55" s="51"/>
      <c r="L55" s="51"/>
      <c r="Q55"/>
      <c r="R55"/>
      <c r="S55"/>
    </row>
    <row r="56" spans="3:19">
      <c r="C56" s="48"/>
      <c r="D56" s="49"/>
      <c r="E56" s="49"/>
      <c r="F56" s="49"/>
      <c r="G56" s="49"/>
      <c r="H56" s="49"/>
      <c r="I56" s="50"/>
      <c r="J56" s="51"/>
      <c r="K56" s="51"/>
      <c r="L56" s="51"/>
      <c r="Q56"/>
      <c r="R56"/>
      <c r="S56"/>
    </row>
    <row r="57" spans="3:19">
      <c r="C57" s="48"/>
      <c r="D57" s="49"/>
      <c r="E57" s="49"/>
      <c r="F57" s="49"/>
      <c r="G57" s="49"/>
      <c r="H57" s="49"/>
      <c r="I57" s="50"/>
      <c r="J57" s="51"/>
      <c r="K57" s="51"/>
      <c r="L57" s="51"/>
      <c r="M57"/>
      <c r="N57"/>
      <c r="O57"/>
      <c r="Q57"/>
      <c r="R57"/>
      <c r="S57"/>
    </row>
    <row r="58" spans="3:19">
      <c r="C58" s="48"/>
      <c r="D58" s="49"/>
      <c r="E58" s="49"/>
      <c r="F58" s="49"/>
      <c r="G58" s="49"/>
      <c r="H58" s="49"/>
      <c r="I58" s="50"/>
      <c r="J58" s="51"/>
      <c r="K58" s="51"/>
      <c r="L58" s="51"/>
      <c r="M58"/>
      <c r="N58"/>
      <c r="O58"/>
      <c r="Q58"/>
      <c r="R58"/>
      <c r="S58"/>
    </row>
    <row r="59" spans="3:19">
      <c r="C59" s="48"/>
      <c r="D59" s="49"/>
      <c r="E59" s="49"/>
      <c r="F59" s="49"/>
      <c r="G59" s="49"/>
      <c r="H59" s="49"/>
      <c r="I59" s="50"/>
      <c r="J59" s="51"/>
      <c r="K59" s="51"/>
      <c r="L59" s="51"/>
      <c r="M59"/>
      <c r="N59"/>
      <c r="O59"/>
      <c r="Q59"/>
      <c r="R59"/>
      <c r="S59"/>
    </row>
    <row r="60" spans="3:19">
      <c r="C60" s="48"/>
      <c r="D60" s="49"/>
      <c r="E60" s="49"/>
      <c r="F60" s="49"/>
      <c r="G60" s="49"/>
      <c r="H60" s="49"/>
      <c r="I60" s="50"/>
      <c r="J60" s="51"/>
      <c r="K60" s="51"/>
      <c r="L60" s="51"/>
      <c r="M60"/>
      <c r="N60"/>
      <c r="O60"/>
      <c r="Q60"/>
      <c r="R60"/>
      <c r="S60"/>
    </row>
    <row r="61" spans="3:19">
      <c r="C61" s="48"/>
      <c r="D61" s="49"/>
      <c r="E61" s="49"/>
      <c r="F61" s="49"/>
      <c r="G61" s="49"/>
      <c r="H61" s="49"/>
      <c r="I61" s="50"/>
      <c r="J61" s="51"/>
      <c r="K61" s="51"/>
      <c r="L61" s="51"/>
      <c r="M61"/>
      <c r="N61"/>
      <c r="O61"/>
      <c r="Q61"/>
      <c r="R61"/>
      <c r="S61"/>
    </row>
    <row r="62" spans="3:19">
      <c r="C62" s="48"/>
      <c r="D62" s="49"/>
      <c r="E62" s="49"/>
      <c r="F62" s="49"/>
      <c r="G62" s="49"/>
      <c r="H62" s="49"/>
      <c r="I62" s="50"/>
      <c r="J62" s="51"/>
      <c r="K62" s="51"/>
      <c r="L62" s="51"/>
      <c r="M62"/>
      <c r="N62"/>
      <c r="O62"/>
      <c r="Q62"/>
      <c r="R62"/>
      <c r="S62"/>
    </row>
    <row r="63" spans="3:19">
      <c r="C63" s="48"/>
      <c r="D63" s="49"/>
      <c r="E63" s="49"/>
      <c r="F63" s="49"/>
      <c r="G63" s="49"/>
      <c r="H63" s="49"/>
      <c r="I63" s="50"/>
      <c r="J63" s="51"/>
      <c r="K63" s="51"/>
      <c r="L63" s="51"/>
      <c r="M63"/>
      <c r="N63"/>
      <c r="O63"/>
      <c r="Q63"/>
      <c r="R63"/>
      <c r="S63"/>
    </row>
    <row r="64" spans="3:19">
      <c r="C64" s="48"/>
      <c r="D64" s="49"/>
      <c r="E64" s="49"/>
      <c r="F64" s="49"/>
      <c r="G64" s="49"/>
      <c r="H64" s="49"/>
      <c r="I64" s="50"/>
      <c r="J64" s="51"/>
      <c r="K64" s="51"/>
      <c r="L64" s="51"/>
      <c r="M64"/>
      <c r="N64"/>
      <c r="O64"/>
      <c r="Q64"/>
      <c r="R64"/>
      <c r="S64"/>
    </row>
    <row r="65" spans="3:19">
      <c r="C65" s="48"/>
      <c r="D65" s="49"/>
      <c r="E65" s="49"/>
      <c r="F65" s="49"/>
      <c r="G65" s="49"/>
      <c r="H65" s="49"/>
      <c r="I65" s="50"/>
      <c r="J65" s="51"/>
      <c r="K65" s="51"/>
      <c r="L65" s="51"/>
      <c r="M65"/>
      <c r="N65"/>
      <c r="O65"/>
      <c r="Q65"/>
      <c r="R65"/>
      <c r="S65"/>
    </row>
    <row r="66" spans="3:19">
      <c r="C66" s="48"/>
      <c r="D66" s="49"/>
      <c r="E66" s="49"/>
      <c r="F66" s="49"/>
      <c r="G66" s="49"/>
      <c r="H66" s="49"/>
      <c r="I66" s="50"/>
      <c r="J66" s="51"/>
      <c r="K66" s="51"/>
      <c r="L66" s="51"/>
      <c r="M66"/>
      <c r="N66"/>
      <c r="O66"/>
      <c r="Q66"/>
      <c r="R66"/>
      <c r="S66"/>
    </row>
    <row r="67" spans="3:19">
      <c r="C67" s="48"/>
      <c r="D67" s="49"/>
      <c r="E67" s="49"/>
      <c r="F67" s="49"/>
      <c r="G67" s="49"/>
      <c r="H67" s="49"/>
      <c r="I67" s="50"/>
      <c r="J67" s="51"/>
      <c r="K67" s="51"/>
      <c r="L67" s="51"/>
      <c r="M67"/>
      <c r="N67"/>
      <c r="O67"/>
      <c r="Q67"/>
      <c r="R67"/>
      <c r="S67"/>
    </row>
    <row r="68" spans="3:19">
      <c r="C68" s="48"/>
      <c r="D68" s="49"/>
      <c r="E68" s="49"/>
      <c r="F68" s="49"/>
      <c r="G68" s="49"/>
      <c r="H68" s="49"/>
      <c r="I68" s="50"/>
      <c r="J68" s="51"/>
      <c r="K68" s="51"/>
      <c r="L68" s="51"/>
      <c r="M68"/>
      <c r="N68"/>
      <c r="O68"/>
      <c r="Q68"/>
      <c r="R68"/>
      <c r="S68"/>
    </row>
    <row r="69" spans="3:19">
      <c r="C69" s="48"/>
      <c r="D69" s="49"/>
      <c r="E69" s="49"/>
      <c r="F69" s="49"/>
      <c r="G69" s="49"/>
      <c r="H69" s="49"/>
      <c r="I69" s="50"/>
      <c r="J69" s="51"/>
      <c r="K69" s="51"/>
      <c r="L69" s="51"/>
      <c r="M69"/>
      <c r="N69"/>
      <c r="O69"/>
      <c r="Q69"/>
      <c r="R69"/>
      <c r="S69"/>
    </row>
    <row r="70" spans="3:19">
      <c r="C70" s="48"/>
      <c r="D70" s="49"/>
      <c r="E70" s="49"/>
      <c r="F70" s="49"/>
      <c r="G70" s="49"/>
      <c r="H70" s="49"/>
      <c r="I70" s="50"/>
      <c r="J70" s="51"/>
      <c r="K70" s="51"/>
      <c r="L70" s="51"/>
      <c r="M70"/>
      <c r="N70"/>
      <c r="O70"/>
      <c r="Q70"/>
      <c r="R70"/>
      <c r="S70"/>
    </row>
    <row r="71" spans="3:19">
      <c r="C71" s="48"/>
      <c r="D71" s="49"/>
      <c r="E71" s="49"/>
      <c r="F71" s="49"/>
      <c r="G71" s="49"/>
      <c r="H71" s="49"/>
      <c r="I71" s="50"/>
      <c r="J71" s="51"/>
      <c r="K71" s="51"/>
      <c r="L71" s="51"/>
      <c r="M71"/>
      <c r="N71"/>
      <c r="O71"/>
      <c r="Q71"/>
      <c r="R71"/>
      <c r="S71"/>
    </row>
    <row r="72" spans="3:19">
      <c r="C72" s="48"/>
      <c r="D72" s="49"/>
      <c r="E72" s="49"/>
      <c r="F72" s="49"/>
      <c r="G72" s="49"/>
      <c r="H72" s="49"/>
      <c r="I72" s="50"/>
      <c r="J72" s="51"/>
      <c r="K72" s="51"/>
      <c r="L72" s="51"/>
      <c r="M72"/>
      <c r="N72"/>
      <c r="O72"/>
      <c r="Q72"/>
      <c r="R72"/>
      <c r="S72"/>
    </row>
    <row r="73" spans="3:19">
      <c r="C73" s="48"/>
      <c r="D73" s="49"/>
      <c r="E73" s="49"/>
      <c r="F73" s="49"/>
      <c r="G73" s="49"/>
      <c r="H73" s="49"/>
      <c r="I73" s="50"/>
      <c r="J73" s="51"/>
      <c r="K73" s="51"/>
      <c r="L73" s="51"/>
      <c r="M73"/>
      <c r="N73"/>
      <c r="O73"/>
      <c r="Q73"/>
      <c r="R73"/>
      <c r="S73"/>
    </row>
    <row r="74" spans="3:19">
      <c r="C74" s="48"/>
      <c r="D74" s="49"/>
      <c r="E74" s="49"/>
      <c r="F74" s="49"/>
      <c r="G74" s="49"/>
      <c r="H74" s="49"/>
      <c r="I74" s="50"/>
      <c r="J74" s="51"/>
      <c r="K74" s="51"/>
      <c r="L74" s="51"/>
      <c r="M74"/>
      <c r="N74"/>
      <c r="O74"/>
      <c r="Q74"/>
      <c r="R74"/>
      <c r="S74"/>
    </row>
    <row r="75" spans="3:19">
      <c r="C75" s="48"/>
      <c r="D75" s="49"/>
      <c r="E75" s="49"/>
      <c r="F75" s="49"/>
      <c r="G75" s="49"/>
      <c r="H75" s="49"/>
      <c r="I75" s="50"/>
      <c r="J75" s="51"/>
      <c r="K75" s="51"/>
      <c r="L75" s="51"/>
      <c r="M75"/>
      <c r="N75"/>
      <c r="O75"/>
      <c r="Q75"/>
      <c r="R75"/>
      <c r="S75"/>
    </row>
    <row r="76" spans="3:19">
      <c r="C76" s="48"/>
      <c r="D76" s="49"/>
      <c r="E76" s="49"/>
      <c r="F76" s="49"/>
      <c r="G76" s="49"/>
      <c r="H76" s="49"/>
      <c r="I76" s="50"/>
      <c r="J76" s="51"/>
      <c r="K76" s="51"/>
      <c r="L76" s="51"/>
      <c r="M76"/>
      <c r="N76"/>
      <c r="O76"/>
      <c r="Q76"/>
      <c r="R76"/>
      <c r="S76"/>
    </row>
    <row r="77" spans="3:19">
      <c r="C77" s="48"/>
      <c r="D77" s="49"/>
      <c r="E77" s="49"/>
      <c r="F77" s="49"/>
      <c r="G77" s="49"/>
      <c r="H77" s="49"/>
      <c r="I77" s="50"/>
      <c r="J77" s="51"/>
      <c r="K77" s="51"/>
      <c r="L77" s="51"/>
      <c r="M77"/>
      <c r="N77"/>
      <c r="O77"/>
      <c r="Q77"/>
      <c r="R77"/>
      <c r="S77"/>
    </row>
    <row r="78" spans="3:19">
      <c r="C78" s="48"/>
      <c r="D78" s="49"/>
      <c r="E78" s="49"/>
      <c r="F78" s="49"/>
      <c r="G78" s="49"/>
      <c r="H78" s="49"/>
      <c r="I78" s="50"/>
      <c r="J78" s="51"/>
      <c r="K78" s="51"/>
      <c r="L78" s="51"/>
      <c r="M78"/>
      <c r="N78"/>
      <c r="O78"/>
      <c r="Q78"/>
      <c r="R78"/>
      <c r="S78"/>
    </row>
    <row r="79" spans="3:19">
      <c r="C79" s="48"/>
      <c r="D79" s="49"/>
      <c r="E79" s="49"/>
      <c r="F79" s="49"/>
      <c r="G79" s="49"/>
      <c r="H79" s="49"/>
      <c r="I79" s="50"/>
      <c r="J79" s="51"/>
      <c r="K79" s="51"/>
      <c r="L79" s="51"/>
      <c r="M79"/>
      <c r="N79"/>
      <c r="O79"/>
      <c r="Q79"/>
      <c r="R79"/>
      <c r="S79"/>
    </row>
    <row r="80" spans="3:19">
      <c r="C80" s="48"/>
      <c r="D80" s="49"/>
      <c r="E80" s="49"/>
      <c r="F80" s="49"/>
      <c r="G80" s="49"/>
      <c r="H80" s="49"/>
      <c r="I80" s="50"/>
      <c r="J80" s="51"/>
      <c r="K80" s="51"/>
      <c r="L80" s="51"/>
      <c r="M80"/>
      <c r="N80"/>
      <c r="O80"/>
      <c r="Q80"/>
      <c r="R80"/>
      <c r="S80"/>
    </row>
    <row r="81" spans="3:19">
      <c r="C81" s="48"/>
      <c r="D81" s="49"/>
      <c r="E81" s="49"/>
      <c r="F81" s="49"/>
      <c r="G81" s="49"/>
      <c r="H81" s="49"/>
      <c r="I81" s="50"/>
      <c r="J81" s="51"/>
      <c r="K81" s="51"/>
      <c r="L81" s="51"/>
      <c r="M81"/>
      <c r="N81"/>
      <c r="O81"/>
      <c r="Q81"/>
      <c r="R81"/>
      <c r="S81"/>
    </row>
    <row r="82" spans="3:19">
      <c r="C82" s="48"/>
      <c r="D82" s="49"/>
      <c r="E82" s="49"/>
      <c r="F82" s="49"/>
      <c r="G82" s="49"/>
      <c r="H82" s="49"/>
      <c r="I82" s="50"/>
      <c r="J82" s="51"/>
      <c r="K82" s="51"/>
      <c r="L82" s="51"/>
      <c r="M82"/>
      <c r="N82"/>
      <c r="O82"/>
      <c r="Q82"/>
      <c r="R82"/>
      <c r="S82"/>
    </row>
    <row r="83" spans="3:19">
      <c r="C83" s="48"/>
      <c r="D83" s="49"/>
      <c r="E83" s="49"/>
      <c r="F83" s="49"/>
      <c r="G83" s="49"/>
      <c r="H83" s="49"/>
      <c r="I83" s="50"/>
      <c r="J83" s="51"/>
      <c r="K83" s="51"/>
      <c r="L83" s="51"/>
      <c r="M83"/>
      <c r="N83"/>
      <c r="O83"/>
      <c r="Q83"/>
      <c r="R83"/>
      <c r="S83"/>
    </row>
    <row r="84" spans="3:19">
      <c r="C84" s="48"/>
      <c r="D84" s="49"/>
      <c r="E84" s="49"/>
      <c r="F84" s="49"/>
      <c r="G84" s="49"/>
      <c r="H84" s="49"/>
      <c r="I84" s="50"/>
      <c r="J84" s="51"/>
      <c r="K84" s="51"/>
      <c r="L84" s="51"/>
      <c r="M84"/>
      <c r="N84"/>
      <c r="O84"/>
      <c r="Q84"/>
      <c r="R84"/>
      <c r="S84"/>
    </row>
    <row r="85" spans="3:19">
      <c r="C85" s="48"/>
      <c r="D85" s="49"/>
      <c r="E85" s="49"/>
      <c r="F85" s="49"/>
      <c r="G85" s="49"/>
      <c r="H85" s="49"/>
      <c r="I85" s="50"/>
      <c r="J85" s="51"/>
      <c r="K85" s="51"/>
      <c r="L85" s="51"/>
      <c r="M85"/>
      <c r="N85"/>
      <c r="O85"/>
      <c r="Q85"/>
      <c r="R85"/>
      <c r="S85"/>
    </row>
    <row r="86" spans="3:19">
      <c r="C86" s="48"/>
      <c r="D86" s="49"/>
      <c r="E86" s="49"/>
      <c r="F86" s="49"/>
      <c r="G86" s="49"/>
      <c r="H86" s="49"/>
      <c r="I86" s="50"/>
      <c r="J86" s="51"/>
      <c r="K86" s="51"/>
      <c r="L86" s="51"/>
      <c r="M86"/>
      <c r="N86"/>
      <c r="O86"/>
      <c r="Q86"/>
      <c r="R86"/>
      <c r="S86"/>
    </row>
    <row r="87" spans="3:19">
      <c r="C87" s="48"/>
      <c r="D87" s="49"/>
      <c r="E87" s="49"/>
      <c r="F87" s="49"/>
      <c r="G87" s="49"/>
      <c r="H87" s="49"/>
      <c r="I87" s="50"/>
      <c r="J87" s="51"/>
      <c r="K87" s="51"/>
      <c r="L87" s="51"/>
      <c r="M87"/>
      <c r="N87"/>
      <c r="O87"/>
      <c r="Q87"/>
      <c r="R87"/>
      <c r="S87"/>
    </row>
    <row r="88" spans="3:19">
      <c r="C88" s="48"/>
      <c r="D88" s="49"/>
      <c r="E88" s="49"/>
      <c r="F88" s="49"/>
      <c r="G88" s="49"/>
      <c r="H88" s="49"/>
      <c r="I88" s="50"/>
      <c r="J88" s="51"/>
      <c r="K88" s="51"/>
      <c r="L88" s="51"/>
      <c r="M88"/>
      <c r="N88"/>
      <c r="O88"/>
      <c r="Q88"/>
      <c r="R88"/>
      <c r="S88"/>
    </row>
    <row r="89" spans="3:19">
      <c r="C89" s="48"/>
      <c r="D89" s="49"/>
      <c r="E89" s="49"/>
      <c r="F89" s="49"/>
      <c r="G89" s="49"/>
      <c r="H89" s="49"/>
      <c r="I89" s="50"/>
      <c r="J89" s="51"/>
      <c r="K89" s="51"/>
      <c r="L89" s="51"/>
      <c r="M89"/>
      <c r="N89"/>
      <c r="O89"/>
      <c r="Q89"/>
      <c r="R89"/>
      <c r="S89"/>
    </row>
    <row r="90" spans="3:19">
      <c r="C90" s="48"/>
      <c r="D90" s="49"/>
      <c r="E90" s="49"/>
      <c r="F90" s="49"/>
      <c r="G90" s="49"/>
      <c r="H90" s="49"/>
      <c r="I90" s="50"/>
      <c r="J90" s="51"/>
      <c r="K90" s="51"/>
      <c r="L90" s="51"/>
      <c r="M90"/>
      <c r="N90"/>
      <c r="O90"/>
      <c r="Q90"/>
      <c r="R90"/>
      <c r="S90"/>
    </row>
    <row r="91" spans="3:19">
      <c r="C91" s="48"/>
      <c r="D91" s="49"/>
      <c r="E91" s="49"/>
      <c r="F91" s="49"/>
      <c r="G91" s="49"/>
      <c r="H91" s="49"/>
      <c r="I91" s="50"/>
      <c r="J91" s="51"/>
      <c r="K91" s="51"/>
      <c r="L91" s="51"/>
      <c r="M91"/>
      <c r="N91"/>
      <c r="O91"/>
      <c r="Q91"/>
      <c r="R91"/>
      <c r="S91"/>
    </row>
    <row r="92" spans="3:19">
      <c r="C92" s="48"/>
      <c r="D92" s="49"/>
      <c r="E92" s="49"/>
      <c r="F92" s="49"/>
      <c r="G92" s="49"/>
      <c r="H92" s="49"/>
      <c r="I92" s="50"/>
      <c r="J92" s="51"/>
      <c r="K92" s="51"/>
      <c r="L92" s="51"/>
      <c r="M92"/>
      <c r="N92"/>
      <c r="O92"/>
      <c r="Q92"/>
      <c r="R92"/>
      <c r="S92"/>
    </row>
    <row r="93" spans="3:19">
      <c r="C93" s="48"/>
      <c r="D93" s="49"/>
      <c r="E93" s="49"/>
      <c r="F93" s="49"/>
      <c r="G93" s="49"/>
      <c r="H93" s="49"/>
      <c r="I93" s="50"/>
      <c r="J93" s="51"/>
      <c r="K93" s="51"/>
      <c r="L93" s="51"/>
      <c r="M93"/>
      <c r="N93"/>
      <c r="O93"/>
      <c r="Q93"/>
      <c r="R93"/>
      <c r="S93"/>
    </row>
    <row r="94" spans="3:19">
      <c r="C94" s="48"/>
      <c r="D94" s="49"/>
      <c r="E94" s="49"/>
      <c r="F94" s="49"/>
      <c r="G94" s="49"/>
      <c r="H94" s="49"/>
      <c r="I94" s="50"/>
      <c r="J94" s="51"/>
      <c r="K94" s="51"/>
      <c r="L94" s="51"/>
      <c r="M94"/>
      <c r="N94"/>
      <c r="O94"/>
      <c r="Q94"/>
      <c r="R94"/>
      <c r="S94"/>
    </row>
    <row r="95" spans="3:19">
      <c r="C95" s="48"/>
      <c r="D95" s="49"/>
      <c r="E95" s="49"/>
      <c r="F95" s="49"/>
      <c r="G95" s="49"/>
      <c r="H95" s="49"/>
      <c r="I95" s="50"/>
      <c r="J95" s="51"/>
      <c r="K95" s="51"/>
      <c r="L95" s="51"/>
      <c r="M95"/>
      <c r="N95"/>
      <c r="O95"/>
      <c r="Q95"/>
      <c r="R95"/>
      <c r="S95"/>
    </row>
    <row r="96" spans="3:19">
      <c r="C96" s="48"/>
      <c r="D96" s="49"/>
      <c r="E96" s="49"/>
      <c r="F96" s="49"/>
      <c r="G96" s="49"/>
      <c r="H96" s="49"/>
      <c r="I96" s="50"/>
      <c r="J96" s="51"/>
      <c r="K96" s="51"/>
      <c r="L96" s="51"/>
      <c r="M96"/>
      <c r="N96"/>
      <c r="O96"/>
      <c r="Q96"/>
      <c r="R96"/>
      <c r="S96"/>
    </row>
    <row r="97" spans="3:19">
      <c r="C97" s="48"/>
      <c r="D97" s="49"/>
      <c r="E97" s="49"/>
      <c r="F97" s="49"/>
      <c r="G97" s="49"/>
      <c r="H97" s="49"/>
      <c r="I97" s="50"/>
      <c r="J97" s="51"/>
      <c r="K97" s="51"/>
      <c r="L97" s="51"/>
      <c r="M97"/>
      <c r="N97"/>
      <c r="O97"/>
      <c r="Q97"/>
      <c r="R97"/>
      <c r="S97"/>
    </row>
    <row r="98" spans="3:19">
      <c r="C98" s="48"/>
      <c r="D98" s="49"/>
      <c r="E98" s="49"/>
      <c r="F98" s="49"/>
      <c r="G98" s="49"/>
      <c r="H98" s="49"/>
      <c r="I98" s="50"/>
      <c r="J98" s="51"/>
      <c r="K98" s="51"/>
      <c r="L98" s="51"/>
      <c r="M98"/>
      <c r="N98"/>
      <c r="O98"/>
      <c r="Q98"/>
      <c r="R98"/>
      <c r="S98"/>
    </row>
    <row r="99" spans="3:19">
      <c r="C99" s="48"/>
      <c r="D99" s="49"/>
      <c r="E99" s="49"/>
      <c r="F99" s="49"/>
      <c r="G99" s="49"/>
      <c r="H99" s="49"/>
      <c r="I99" s="50"/>
      <c r="J99" s="51"/>
      <c r="K99" s="51"/>
      <c r="L99" s="51"/>
      <c r="M99"/>
      <c r="N99"/>
      <c r="O99"/>
      <c r="Q99"/>
      <c r="R99"/>
      <c r="S99"/>
    </row>
    <row r="100" spans="3:19">
      <c r="C100" s="48"/>
      <c r="D100" s="49"/>
      <c r="E100" s="49"/>
      <c r="F100" s="49"/>
      <c r="G100" s="49"/>
      <c r="H100" s="49"/>
      <c r="I100" s="50"/>
      <c r="J100" s="51"/>
      <c r="K100" s="51"/>
      <c r="L100" s="51"/>
      <c r="M100"/>
      <c r="N100"/>
      <c r="O100"/>
      <c r="Q100"/>
      <c r="R100"/>
      <c r="S100"/>
    </row>
    <row r="101" spans="3:19">
      <c r="C101" s="48"/>
      <c r="D101" s="49"/>
      <c r="E101" s="49"/>
      <c r="F101" s="49"/>
      <c r="G101" s="49"/>
      <c r="H101" s="49"/>
      <c r="I101" s="50"/>
      <c r="J101" s="51"/>
      <c r="K101" s="51"/>
      <c r="L101" s="51"/>
      <c r="M101"/>
      <c r="N101"/>
      <c r="O101"/>
      <c r="Q101"/>
      <c r="R101"/>
      <c r="S101"/>
    </row>
    <row r="102" spans="3:19">
      <c r="C102" s="48"/>
      <c r="D102" s="49"/>
      <c r="E102" s="49"/>
      <c r="F102" s="49"/>
      <c r="G102" s="49"/>
      <c r="H102" s="49"/>
      <c r="I102" s="50"/>
      <c r="J102" s="51"/>
      <c r="K102" s="51"/>
      <c r="L102" s="51"/>
      <c r="M102"/>
      <c r="N102"/>
      <c r="O102"/>
      <c r="Q102"/>
      <c r="R102"/>
      <c r="S102"/>
    </row>
    <row r="103" spans="3:19">
      <c r="C103" s="48"/>
      <c r="D103" s="49"/>
      <c r="E103" s="49"/>
      <c r="F103" s="49"/>
      <c r="G103" s="49"/>
      <c r="H103" s="49"/>
      <c r="I103" s="50"/>
      <c r="J103" s="51"/>
      <c r="K103" s="51"/>
      <c r="L103" s="51"/>
      <c r="M103"/>
      <c r="N103"/>
      <c r="O103"/>
      <c r="Q103"/>
      <c r="R103"/>
      <c r="S103"/>
    </row>
    <row r="104" spans="3:19">
      <c r="C104" s="48"/>
      <c r="D104" s="49"/>
      <c r="E104" s="49"/>
      <c r="F104" s="49"/>
      <c r="G104" s="49"/>
      <c r="H104" s="49"/>
      <c r="I104" s="50"/>
      <c r="J104" s="51"/>
      <c r="K104" s="51"/>
      <c r="L104" s="51"/>
      <c r="M104"/>
      <c r="N104"/>
      <c r="O104"/>
      <c r="Q104"/>
      <c r="R104"/>
      <c r="S104"/>
    </row>
    <row r="105" spans="3:19">
      <c r="C105" s="48"/>
      <c r="D105" s="49"/>
      <c r="E105" s="49"/>
      <c r="F105" s="49"/>
      <c r="G105" s="49"/>
      <c r="H105" s="49"/>
      <c r="I105" s="50"/>
      <c r="J105" s="51"/>
      <c r="K105" s="51"/>
      <c r="L105" s="51"/>
      <c r="M105"/>
      <c r="N105"/>
      <c r="O105"/>
      <c r="Q105"/>
      <c r="R105"/>
      <c r="S105"/>
    </row>
    <row r="106" spans="3:19">
      <c r="C106" s="48"/>
      <c r="D106" s="49"/>
      <c r="E106" s="49"/>
      <c r="F106" s="49"/>
      <c r="G106" s="49"/>
      <c r="H106" s="49"/>
      <c r="I106" s="50"/>
      <c r="J106" s="51"/>
      <c r="K106" s="51"/>
      <c r="L106" s="51"/>
      <c r="M106"/>
      <c r="N106"/>
      <c r="O106"/>
      <c r="Q106"/>
      <c r="R106"/>
      <c r="S106"/>
    </row>
    <row r="107" spans="3:19">
      <c r="C107" s="48"/>
      <c r="D107" s="49"/>
      <c r="E107" s="49"/>
      <c r="F107" s="49"/>
      <c r="G107" s="49"/>
      <c r="H107" s="49"/>
      <c r="I107" s="50"/>
      <c r="J107" s="51"/>
      <c r="K107" s="51"/>
      <c r="L107" s="51"/>
      <c r="M107"/>
      <c r="N107"/>
      <c r="O107"/>
      <c r="Q107"/>
      <c r="R107"/>
      <c r="S107"/>
    </row>
    <row r="108" spans="3:19">
      <c r="C108" s="48"/>
      <c r="D108" s="49"/>
      <c r="E108" s="49"/>
      <c r="F108" s="49"/>
      <c r="G108" s="49"/>
      <c r="H108" s="49"/>
      <c r="I108" s="50"/>
      <c r="J108" s="51"/>
      <c r="K108" s="51"/>
      <c r="L108" s="51"/>
      <c r="M108"/>
      <c r="N108"/>
      <c r="O108"/>
      <c r="Q108"/>
      <c r="R108"/>
      <c r="S108"/>
    </row>
  </sheetData>
  <sheetProtection password="EFEB" sheet="1" objects="1" scenarios="1"/>
  <mergeCells count="6">
    <mergeCell ref="B3:S3"/>
    <mergeCell ref="J5:L5"/>
    <mergeCell ref="D27:K27"/>
    <mergeCell ref="D29:K29"/>
    <mergeCell ref="M4:O4"/>
    <mergeCell ref="Q4:S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B1:AK135"/>
  <sheetViews>
    <sheetView topLeftCell="H20" workbookViewId="0">
      <selection activeCell="Q40" sqref="Q40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38.85546875" customWidth="1"/>
    <col min="9" max="9" width="25.5703125" style="2" customWidth="1"/>
    <col min="10" max="12" width="9.140625" style="3"/>
    <col min="13" max="13" width="16.42578125" style="4" customWidth="1"/>
    <col min="14" max="14" width="14.42578125" style="4" customWidth="1"/>
    <col min="15" max="15" width="13" style="4" customWidth="1"/>
    <col min="16" max="16" width="13.5703125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42578125" customWidth="1"/>
    <col min="255" max="255" width="16.425781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4" width="16.42578125" customWidth="1"/>
    <col min="265" max="265" width="13" customWidth="1"/>
    <col min="266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42578125" customWidth="1"/>
    <col min="511" max="511" width="16.425781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0" width="16.42578125" customWidth="1"/>
    <col min="521" max="521" width="13" customWidth="1"/>
    <col min="522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42578125" customWidth="1"/>
    <col min="767" max="767" width="16.425781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6" width="16.42578125" customWidth="1"/>
    <col min="777" max="777" width="13" customWidth="1"/>
    <col min="778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42578125" customWidth="1"/>
    <col min="1023" max="1023" width="16.425781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2" width="16.42578125" customWidth="1"/>
    <col min="1033" max="1033" width="13" customWidth="1"/>
    <col min="1034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42578125" customWidth="1"/>
    <col min="1279" max="1279" width="16.425781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8" width="16.42578125" customWidth="1"/>
    <col min="1289" max="1289" width="13" customWidth="1"/>
    <col min="1290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42578125" customWidth="1"/>
    <col min="1535" max="1535" width="16.425781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4" width="16.42578125" customWidth="1"/>
    <col min="1545" max="1545" width="13" customWidth="1"/>
    <col min="1546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42578125" customWidth="1"/>
    <col min="1791" max="1791" width="16.425781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0" width="16.42578125" customWidth="1"/>
    <col min="1801" max="1801" width="13" customWidth="1"/>
    <col min="1802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42578125" customWidth="1"/>
    <col min="2047" max="2047" width="16.425781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6" width="16.42578125" customWidth="1"/>
    <col min="2057" max="2057" width="13" customWidth="1"/>
    <col min="2058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42578125" customWidth="1"/>
    <col min="2303" max="2303" width="16.425781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2" width="16.42578125" customWidth="1"/>
    <col min="2313" max="2313" width="13" customWidth="1"/>
    <col min="2314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42578125" customWidth="1"/>
    <col min="2559" max="2559" width="16.425781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8" width="16.42578125" customWidth="1"/>
    <col min="2569" max="2569" width="13" customWidth="1"/>
    <col min="2570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42578125" customWidth="1"/>
    <col min="2815" max="2815" width="16.425781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4" width="16.42578125" customWidth="1"/>
    <col min="2825" max="2825" width="13" customWidth="1"/>
    <col min="2826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42578125" customWidth="1"/>
    <col min="3071" max="3071" width="16.425781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0" width="16.42578125" customWidth="1"/>
    <col min="3081" max="3081" width="13" customWidth="1"/>
    <col min="3082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42578125" customWidth="1"/>
    <col min="3327" max="3327" width="16.425781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6" width="16.42578125" customWidth="1"/>
    <col min="3337" max="3337" width="13" customWidth="1"/>
    <col min="3338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42578125" customWidth="1"/>
    <col min="3583" max="3583" width="16.425781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2" width="16.42578125" customWidth="1"/>
    <col min="3593" max="3593" width="13" customWidth="1"/>
    <col min="3594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42578125" customWidth="1"/>
    <col min="3839" max="3839" width="16.425781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8" width="16.42578125" customWidth="1"/>
    <col min="3849" max="3849" width="13" customWidth="1"/>
    <col min="3850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42578125" customWidth="1"/>
    <col min="4095" max="4095" width="16.425781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4" width="16.42578125" customWidth="1"/>
    <col min="4105" max="4105" width="13" customWidth="1"/>
    <col min="4106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42578125" customWidth="1"/>
    <col min="4351" max="4351" width="16.425781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0" width="16.42578125" customWidth="1"/>
    <col min="4361" max="4361" width="13" customWidth="1"/>
    <col min="4362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42578125" customWidth="1"/>
    <col min="4607" max="4607" width="16.425781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6" width="16.42578125" customWidth="1"/>
    <col min="4617" max="4617" width="13" customWidth="1"/>
    <col min="4618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42578125" customWidth="1"/>
    <col min="4863" max="4863" width="16.425781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2" width="16.42578125" customWidth="1"/>
    <col min="4873" max="4873" width="13" customWidth="1"/>
    <col min="4874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42578125" customWidth="1"/>
    <col min="5119" max="5119" width="16.425781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8" width="16.42578125" customWidth="1"/>
    <col min="5129" max="5129" width="13" customWidth="1"/>
    <col min="5130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42578125" customWidth="1"/>
    <col min="5375" max="5375" width="16.425781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4" width="16.42578125" customWidth="1"/>
    <col min="5385" max="5385" width="13" customWidth="1"/>
    <col min="5386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42578125" customWidth="1"/>
    <col min="5631" max="5631" width="16.425781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0" width="16.42578125" customWidth="1"/>
    <col min="5641" max="5641" width="13" customWidth="1"/>
    <col min="5642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42578125" customWidth="1"/>
    <col min="5887" max="5887" width="16.425781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6" width="16.42578125" customWidth="1"/>
    <col min="5897" max="5897" width="13" customWidth="1"/>
    <col min="5898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42578125" customWidth="1"/>
    <col min="6143" max="6143" width="16.425781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2" width="16.42578125" customWidth="1"/>
    <col min="6153" max="6153" width="13" customWidth="1"/>
    <col min="6154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42578125" customWidth="1"/>
    <col min="6399" max="6399" width="16.425781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8" width="16.42578125" customWidth="1"/>
    <col min="6409" max="6409" width="13" customWidth="1"/>
    <col min="6410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42578125" customWidth="1"/>
    <col min="6655" max="6655" width="16.425781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4" width="16.42578125" customWidth="1"/>
    <col min="6665" max="6665" width="13" customWidth="1"/>
    <col min="6666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42578125" customWidth="1"/>
    <col min="6911" max="6911" width="16.425781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0" width="16.42578125" customWidth="1"/>
    <col min="6921" max="6921" width="13" customWidth="1"/>
    <col min="6922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42578125" customWidth="1"/>
    <col min="7167" max="7167" width="16.425781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6" width="16.42578125" customWidth="1"/>
    <col min="7177" max="7177" width="13" customWidth="1"/>
    <col min="7178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42578125" customWidth="1"/>
    <col min="7423" max="7423" width="16.425781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2" width="16.42578125" customWidth="1"/>
    <col min="7433" max="7433" width="13" customWidth="1"/>
    <col min="7434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42578125" customWidth="1"/>
    <col min="7679" max="7679" width="16.425781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8" width="16.42578125" customWidth="1"/>
    <col min="7689" max="7689" width="13" customWidth="1"/>
    <col min="7690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42578125" customWidth="1"/>
    <col min="7935" max="7935" width="16.425781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4" width="16.42578125" customWidth="1"/>
    <col min="7945" max="7945" width="13" customWidth="1"/>
    <col min="7946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42578125" customWidth="1"/>
    <col min="8191" max="8191" width="16.425781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0" width="16.42578125" customWidth="1"/>
    <col min="8201" max="8201" width="13" customWidth="1"/>
    <col min="8202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42578125" customWidth="1"/>
    <col min="8447" max="8447" width="16.425781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6" width="16.42578125" customWidth="1"/>
    <col min="8457" max="8457" width="13" customWidth="1"/>
    <col min="8458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42578125" customWidth="1"/>
    <col min="8703" max="8703" width="16.425781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2" width="16.42578125" customWidth="1"/>
    <col min="8713" max="8713" width="13" customWidth="1"/>
    <col min="8714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42578125" customWidth="1"/>
    <col min="8959" max="8959" width="16.425781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8" width="16.42578125" customWidth="1"/>
    <col min="8969" max="8969" width="13" customWidth="1"/>
    <col min="8970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42578125" customWidth="1"/>
    <col min="9215" max="9215" width="16.425781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4" width="16.42578125" customWidth="1"/>
    <col min="9225" max="9225" width="13" customWidth="1"/>
    <col min="9226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42578125" customWidth="1"/>
    <col min="9471" max="9471" width="16.425781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0" width="16.42578125" customWidth="1"/>
    <col min="9481" max="9481" width="13" customWidth="1"/>
    <col min="9482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42578125" customWidth="1"/>
    <col min="9727" max="9727" width="16.425781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6" width="16.42578125" customWidth="1"/>
    <col min="9737" max="9737" width="13" customWidth="1"/>
    <col min="9738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42578125" customWidth="1"/>
    <col min="9983" max="9983" width="16.425781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2" width="16.42578125" customWidth="1"/>
    <col min="9993" max="9993" width="13" customWidth="1"/>
    <col min="9994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42578125" customWidth="1"/>
    <col min="10239" max="10239" width="16.425781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8" width="16.42578125" customWidth="1"/>
    <col min="10249" max="10249" width="13" customWidth="1"/>
    <col min="10250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42578125" customWidth="1"/>
    <col min="10495" max="10495" width="16.425781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4" width="16.42578125" customWidth="1"/>
    <col min="10505" max="10505" width="13" customWidth="1"/>
    <col min="10506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42578125" customWidth="1"/>
    <col min="10751" max="10751" width="16.425781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0" width="16.42578125" customWidth="1"/>
    <col min="10761" max="10761" width="13" customWidth="1"/>
    <col min="10762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42578125" customWidth="1"/>
    <col min="11007" max="11007" width="16.425781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6" width="16.42578125" customWidth="1"/>
    <col min="11017" max="11017" width="13" customWidth="1"/>
    <col min="11018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42578125" customWidth="1"/>
    <col min="11263" max="11263" width="16.425781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2" width="16.42578125" customWidth="1"/>
    <col min="11273" max="11273" width="13" customWidth="1"/>
    <col min="11274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42578125" customWidth="1"/>
    <col min="11519" max="11519" width="16.425781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8" width="16.42578125" customWidth="1"/>
    <col min="11529" max="11529" width="13" customWidth="1"/>
    <col min="11530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42578125" customWidth="1"/>
    <col min="11775" max="11775" width="16.425781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4" width="16.42578125" customWidth="1"/>
    <col min="11785" max="11785" width="13" customWidth="1"/>
    <col min="11786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42578125" customWidth="1"/>
    <col min="12031" max="12031" width="16.425781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0" width="16.42578125" customWidth="1"/>
    <col min="12041" max="12041" width="13" customWidth="1"/>
    <col min="12042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42578125" customWidth="1"/>
    <col min="12287" max="12287" width="16.425781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6" width="16.42578125" customWidth="1"/>
    <col min="12297" max="12297" width="13" customWidth="1"/>
    <col min="12298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42578125" customWidth="1"/>
    <col min="12543" max="12543" width="16.425781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2" width="16.42578125" customWidth="1"/>
    <col min="12553" max="12553" width="13" customWidth="1"/>
    <col min="12554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42578125" customWidth="1"/>
    <col min="12799" max="12799" width="16.425781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8" width="16.42578125" customWidth="1"/>
    <col min="12809" max="12809" width="13" customWidth="1"/>
    <col min="12810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42578125" customWidth="1"/>
    <col min="13055" max="13055" width="16.425781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4" width="16.42578125" customWidth="1"/>
    <col min="13065" max="13065" width="13" customWidth="1"/>
    <col min="13066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42578125" customWidth="1"/>
    <col min="13311" max="13311" width="16.425781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0" width="16.42578125" customWidth="1"/>
    <col min="13321" max="13321" width="13" customWidth="1"/>
    <col min="13322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42578125" customWidth="1"/>
    <col min="13567" max="13567" width="16.425781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6" width="16.42578125" customWidth="1"/>
    <col min="13577" max="13577" width="13" customWidth="1"/>
    <col min="13578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42578125" customWidth="1"/>
    <col min="13823" max="13823" width="16.425781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2" width="16.42578125" customWidth="1"/>
    <col min="13833" max="13833" width="13" customWidth="1"/>
    <col min="13834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42578125" customWidth="1"/>
    <col min="14079" max="14079" width="16.425781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8" width="16.42578125" customWidth="1"/>
    <col min="14089" max="14089" width="13" customWidth="1"/>
    <col min="14090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42578125" customWidth="1"/>
    <col min="14335" max="14335" width="16.425781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4" width="16.42578125" customWidth="1"/>
    <col min="14345" max="14345" width="13" customWidth="1"/>
    <col min="14346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42578125" customWidth="1"/>
    <col min="14591" max="14591" width="16.425781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0" width="16.42578125" customWidth="1"/>
    <col min="14601" max="14601" width="13" customWidth="1"/>
    <col min="14602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42578125" customWidth="1"/>
    <col min="14847" max="14847" width="16.425781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6" width="16.42578125" customWidth="1"/>
    <col min="14857" max="14857" width="13" customWidth="1"/>
    <col min="14858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42578125" customWidth="1"/>
    <col min="15103" max="15103" width="16.425781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2" width="16.42578125" customWidth="1"/>
    <col min="15113" max="15113" width="13" customWidth="1"/>
    <col min="15114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42578125" customWidth="1"/>
    <col min="15359" max="15359" width="16.425781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8" width="16.42578125" customWidth="1"/>
    <col min="15369" max="15369" width="13" customWidth="1"/>
    <col min="15370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42578125" customWidth="1"/>
    <col min="15615" max="15615" width="16.425781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4" width="16.42578125" customWidth="1"/>
    <col min="15625" max="15625" width="13" customWidth="1"/>
    <col min="15626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42578125" customWidth="1"/>
    <col min="15871" max="15871" width="16.425781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0" width="16.42578125" customWidth="1"/>
    <col min="15881" max="15881" width="13" customWidth="1"/>
    <col min="15882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42578125" customWidth="1"/>
    <col min="16127" max="16127" width="16.425781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6" width="16.42578125" customWidth="1"/>
    <col min="16137" max="16137" width="13" customWidth="1"/>
    <col min="16138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1" spans="2:37" s="7" customFormat="1" ht="18.75" thickBot="1">
      <c r="B1" s="357" t="s">
        <v>418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65"/>
      <c r="N1" s="365"/>
      <c r="O1" s="365"/>
      <c r="P1" s="365"/>
      <c r="Q1" s="365"/>
      <c r="R1" s="365"/>
      <c r="S1" s="365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2:37" s="7" customFormat="1" ht="32.25" customHeight="1" thickBot="1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  <c r="M2" s="366" t="s">
        <v>26</v>
      </c>
      <c r="N2" s="367"/>
      <c r="O2" s="368"/>
      <c r="P2" s="275" t="s">
        <v>33</v>
      </c>
      <c r="Q2" s="367" t="s">
        <v>34</v>
      </c>
      <c r="R2" s="367"/>
      <c r="S2" s="36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2:37" ht="26.25" thickBot="1">
      <c r="B3" s="267" t="s">
        <v>0</v>
      </c>
      <c r="C3" s="265" t="s">
        <v>165</v>
      </c>
      <c r="D3" s="266" t="s">
        <v>1</v>
      </c>
      <c r="E3" s="267" t="s">
        <v>481</v>
      </c>
      <c r="F3" s="267" t="s">
        <v>115</v>
      </c>
      <c r="G3" s="268" t="s">
        <v>164</v>
      </c>
      <c r="H3" s="267" t="s">
        <v>116</v>
      </c>
      <c r="I3" s="267" t="s">
        <v>2</v>
      </c>
      <c r="J3" s="370" t="s">
        <v>3</v>
      </c>
      <c r="K3" s="370"/>
      <c r="L3" s="371"/>
      <c r="M3" s="269" t="s">
        <v>27</v>
      </c>
      <c r="N3" s="270" t="s">
        <v>28</v>
      </c>
      <c r="O3" s="271" t="s">
        <v>29</v>
      </c>
      <c r="P3" s="271" t="s">
        <v>27</v>
      </c>
      <c r="Q3" s="272" t="s">
        <v>4</v>
      </c>
      <c r="R3" s="273" t="s">
        <v>5</v>
      </c>
      <c r="S3" s="274" t="s">
        <v>6</v>
      </c>
    </row>
    <row r="4" spans="2:37" s="16" customFormat="1" ht="12.75">
      <c r="B4" s="106">
        <v>1</v>
      </c>
      <c r="C4" s="55" t="s">
        <v>284</v>
      </c>
      <c r="D4" s="258" t="s">
        <v>313</v>
      </c>
      <c r="E4" s="230" t="s">
        <v>540</v>
      </c>
      <c r="F4" s="164" t="s">
        <v>314</v>
      </c>
      <c r="G4" s="165" t="s">
        <v>407</v>
      </c>
      <c r="H4" s="109" t="str">
        <f>UPPER(G4)</f>
        <v>PARTICIPAÇÃO HOSPITAL SUMMIT 2019</v>
      </c>
      <c r="I4" s="9" t="s">
        <v>358</v>
      </c>
      <c r="J4" s="213">
        <v>43586</v>
      </c>
      <c r="K4" s="199">
        <v>21</v>
      </c>
      <c r="L4" s="200">
        <v>22</v>
      </c>
      <c r="M4" s="57">
        <v>172.2</v>
      </c>
      <c r="N4" s="57">
        <v>235</v>
      </c>
      <c r="O4" s="124"/>
      <c r="P4" s="54">
        <v>0</v>
      </c>
      <c r="Q4" s="13">
        <v>481.83</v>
      </c>
      <c r="R4" s="14">
        <v>288.75</v>
      </c>
      <c r="S4" s="257">
        <f>M4+N4+O4+P4+Q4+R4</f>
        <v>1177.78</v>
      </c>
      <c r="T4" s="15"/>
      <c r="U4" s="15"/>
      <c r="V4" s="15"/>
      <c r="W4" s="15"/>
    </row>
    <row r="5" spans="2:37" s="16" customFormat="1" ht="12.75">
      <c r="B5" s="94">
        <v>2</v>
      </c>
      <c r="C5" s="55" t="s">
        <v>285</v>
      </c>
      <c r="D5" s="258" t="s">
        <v>315</v>
      </c>
      <c r="E5" s="230" t="s">
        <v>541</v>
      </c>
      <c r="F5" s="164" t="s">
        <v>316</v>
      </c>
      <c r="G5" s="223" t="s">
        <v>346</v>
      </c>
      <c r="H5" s="9" t="str">
        <f>UPPER(G5)</f>
        <v>HEALTH COSTS SUMMIT</v>
      </c>
      <c r="I5" s="9" t="s">
        <v>358</v>
      </c>
      <c r="J5" s="213">
        <v>43586</v>
      </c>
      <c r="K5" s="199">
        <v>28</v>
      </c>
      <c r="L5" s="200">
        <v>30</v>
      </c>
      <c r="M5" s="57">
        <v>210.09</v>
      </c>
      <c r="N5" s="57"/>
      <c r="O5" s="57"/>
      <c r="P5" s="12">
        <v>0</v>
      </c>
      <c r="Q5" s="13">
        <v>651.83000000000004</v>
      </c>
      <c r="R5" s="14">
        <v>688.8</v>
      </c>
      <c r="S5" s="93">
        <f t="shared" ref="S5:S32" si="0">M5+N5+O5+P5+Q5+R5</f>
        <v>1550.72</v>
      </c>
      <c r="T5" s="15"/>
      <c r="U5" s="15"/>
      <c r="V5" s="15"/>
      <c r="W5" s="15"/>
    </row>
    <row r="6" spans="2:37" s="16" customFormat="1" ht="13.5" customHeight="1">
      <c r="B6" s="94">
        <v>3</v>
      </c>
      <c r="C6" s="55" t="s">
        <v>286</v>
      </c>
      <c r="D6" s="258" t="s">
        <v>317</v>
      </c>
      <c r="E6" s="230" t="s">
        <v>542</v>
      </c>
      <c r="F6" s="164" t="s">
        <v>318</v>
      </c>
      <c r="G6" s="164" t="s">
        <v>348</v>
      </c>
      <c r="H6" s="9" t="str">
        <f t="shared" ref="H6:H32" si="1">UPPER(G6)</f>
        <v>PARTICIPAÇÃO NO 50º FONAITEC</v>
      </c>
      <c r="I6" s="9" t="s">
        <v>65</v>
      </c>
      <c r="J6" s="155">
        <v>43586</v>
      </c>
      <c r="K6" s="199">
        <v>13</v>
      </c>
      <c r="L6" s="200">
        <v>17</v>
      </c>
      <c r="M6" s="57"/>
      <c r="N6" s="57">
        <v>106.28</v>
      </c>
      <c r="O6" s="57"/>
      <c r="P6" s="12">
        <f>22+51+27</f>
        <v>100</v>
      </c>
      <c r="Q6" s="13">
        <v>1048.3699999999999</v>
      </c>
      <c r="R6" s="14">
        <f>1607.76+432.08</f>
        <v>2039.84</v>
      </c>
      <c r="S6" s="93">
        <f t="shared" si="0"/>
        <v>3294.49</v>
      </c>
      <c r="T6" s="15"/>
      <c r="U6" s="15"/>
      <c r="V6" s="15"/>
      <c r="W6" s="15"/>
    </row>
    <row r="7" spans="2:37" s="16" customFormat="1" ht="12.75">
      <c r="B7" s="94">
        <v>4</v>
      </c>
      <c r="C7" s="55" t="s">
        <v>286</v>
      </c>
      <c r="D7" s="258" t="s">
        <v>319</v>
      </c>
      <c r="E7" s="230" t="s">
        <v>543</v>
      </c>
      <c r="F7" s="164" t="s">
        <v>320</v>
      </c>
      <c r="G7" s="164" t="s">
        <v>348</v>
      </c>
      <c r="H7" s="9" t="str">
        <f t="shared" si="1"/>
        <v>PARTICIPAÇÃO NO 50º FONAITEC</v>
      </c>
      <c r="I7" s="9" t="s">
        <v>65</v>
      </c>
      <c r="J7" s="155">
        <v>43586</v>
      </c>
      <c r="K7" s="199">
        <v>13</v>
      </c>
      <c r="L7" s="200">
        <v>17</v>
      </c>
      <c r="M7" s="57"/>
      <c r="N7" s="57">
        <v>115.08</v>
      </c>
      <c r="O7" s="57"/>
      <c r="P7" s="12">
        <f>32.22+46+40</f>
        <v>118.22</v>
      </c>
      <c r="Q7" s="13">
        <v>1048.3699999999999</v>
      </c>
      <c r="R7" s="14">
        <f>1607.76+424.38</f>
        <v>2032.1399999999999</v>
      </c>
      <c r="S7" s="93">
        <f t="shared" si="0"/>
        <v>3313.8099999999995</v>
      </c>
      <c r="T7" s="15"/>
      <c r="U7" s="15"/>
      <c r="V7" s="15"/>
      <c r="W7" s="15"/>
    </row>
    <row r="8" spans="2:37" s="16" customFormat="1" ht="13.5" customHeight="1">
      <c r="B8" s="94">
        <v>5</v>
      </c>
      <c r="C8" s="55" t="s">
        <v>288</v>
      </c>
      <c r="D8" s="168" t="s">
        <v>302</v>
      </c>
      <c r="E8" s="251" t="s">
        <v>529</v>
      </c>
      <c r="F8" s="163" t="s">
        <v>303</v>
      </c>
      <c r="G8" s="164" t="s">
        <v>350</v>
      </c>
      <c r="H8" s="9" t="str">
        <f t="shared" si="1"/>
        <v>TREINAMENTO AGHUSE - MÓDULOS EXAMES </v>
      </c>
      <c r="I8" s="9" t="s">
        <v>65</v>
      </c>
      <c r="J8" s="155">
        <v>43586</v>
      </c>
      <c r="K8" s="199">
        <v>5</v>
      </c>
      <c r="L8" s="200">
        <v>10</v>
      </c>
      <c r="M8" s="57">
        <v>0</v>
      </c>
      <c r="N8" s="57">
        <v>136.71</v>
      </c>
      <c r="O8" s="57"/>
      <c r="P8" s="54">
        <f>93.84+37.14+35.69+43+36+43+38.59+43.52+36.27+41.5+46.42+86.82</f>
        <v>581.79</v>
      </c>
      <c r="Q8" s="13">
        <v>2748.37</v>
      </c>
      <c r="R8" s="14">
        <f>1489.25+214.17</f>
        <v>1703.42</v>
      </c>
      <c r="S8" s="93">
        <f t="shared" si="0"/>
        <v>5170.29</v>
      </c>
      <c r="T8" s="15"/>
      <c r="U8" s="15"/>
      <c r="V8" s="15"/>
      <c r="W8" s="15"/>
    </row>
    <row r="9" spans="2:37" s="16" customFormat="1" ht="33.75">
      <c r="B9" s="94">
        <v>6</v>
      </c>
      <c r="C9" s="55" t="s">
        <v>289</v>
      </c>
      <c r="D9" s="168" t="s">
        <v>300</v>
      </c>
      <c r="E9" s="230" t="s">
        <v>528</v>
      </c>
      <c r="F9" s="164" t="s">
        <v>301</v>
      </c>
      <c r="G9" s="164" t="s">
        <v>351</v>
      </c>
      <c r="H9" s="9" t="str">
        <f t="shared" si="1"/>
        <v>TREINAMENTO AGHUSE - MÓDULO EXAMES LABORATORIAIS E IMPLANTAÇÃO AGHUSE - MÓDULO EXAMES IMAGENS</v>
      </c>
      <c r="I9" s="9" t="s">
        <v>65</v>
      </c>
      <c r="J9" s="155">
        <v>43586</v>
      </c>
      <c r="K9" s="199">
        <v>6</v>
      </c>
      <c r="L9" s="200">
        <v>10</v>
      </c>
      <c r="M9" s="57">
        <v>0</v>
      </c>
      <c r="N9" s="57">
        <v>63.15</v>
      </c>
      <c r="O9" s="57"/>
      <c r="P9" s="54">
        <f>33.5+28.5+35+40+32.2+38+36+32+37</f>
        <v>312.2</v>
      </c>
      <c r="Q9" s="13">
        <f>1679.98+1404.39</f>
        <v>3084.37</v>
      </c>
      <c r="R9" s="14">
        <f>1191.4+183.68</f>
        <v>1375.0800000000002</v>
      </c>
      <c r="S9" s="93">
        <f t="shared" si="0"/>
        <v>4834.8</v>
      </c>
      <c r="T9" s="15"/>
      <c r="U9" s="15"/>
      <c r="V9" s="15"/>
      <c r="W9" s="15"/>
    </row>
    <row r="10" spans="2:37" s="16" customFormat="1" ht="34.5" customHeight="1">
      <c r="B10" s="94">
        <v>7</v>
      </c>
      <c r="C10" s="55" t="s">
        <v>290</v>
      </c>
      <c r="D10" s="168" t="s">
        <v>322</v>
      </c>
      <c r="E10" s="230" t="s">
        <v>544</v>
      </c>
      <c r="F10" s="163" t="s">
        <v>136</v>
      </c>
      <c r="G10" s="164" t="s">
        <v>351</v>
      </c>
      <c r="H10" s="9" t="str">
        <f t="shared" si="1"/>
        <v>TREINAMENTO AGHUSE - MÓDULO EXAMES LABORATORIAIS E IMPLANTAÇÃO AGHUSE - MÓDULO EXAMES IMAGENS</v>
      </c>
      <c r="I10" s="9" t="s">
        <v>65</v>
      </c>
      <c r="J10" s="155">
        <v>43586</v>
      </c>
      <c r="K10" s="199">
        <v>6</v>
      </c>
      <c r="L10" s="200">
        <v>9</v>
      </c>
      <c r="M10" s="57"/>
      <c r="N10" s="57">
        <v>160.25</v>
      </c>
      <c r="O10" s="57"/>
      <c r="P10" s="54">
        <f>51.5+32+42+32.5+47+74</f>
        <v>279</v>
      </c>
      <c r="Q10" s="13">
        <f>1679.98+972.39</f>
        <v>2652.37</v>
      </c>
      <c r="R10" s="14">
        <f>893.55+195.14</f>
        <v>1088.69</v>
      </c>
      <c r="S10" s="93">
        <f t="shared" si="0"/>
        <v>4180.3099999999995</v>
      </c>
      <c r="T10" s="15"/>
      <c r="U10" s="15"/>
      <c r="V10" s="15"/>
      <c r="W10" s="15"/>
    </row>
    <row r="11" spans="2:37" s="16" customFormat="1" ht="22.5">
      <c r="B11" s="94">
        <v>8</v>
      </c>
      <c r="C11" s="55" t="s">
        <v>298</v>
      </c>
      <c r="D11" s="168" t="s">
        <v>335</v>
      </c>
      <c r="E11" s="230" t="s">
        <v>538</v>
      </c>
      <c r="F11" s="163" t="s">
        <v>336</v>
      </c>
      <c r="G11" s="164" t="s">
        <v>408</v>
      </c>
      <c r="H11" s="9" t="str">
        <f t="shared" si="1"/>
        <v>MINISTRAR TREINAMENTO AGHUSE , MÓDULO CCIH, HOSPITAL MILITAR ÁREA BRASILIA</v>
      </c>
      <c r="I11" s="9" t="s">
        <v>65</v>
      </c>
      <c r="J11" s="155">
        <v>43586</v>
      </c>
      <c r="K11" s="199">
        <v>20</v>
      </c>
      <c r="L11" s="200">
        <v>23</v>
      </c>
      <c r="M11" s="57">
        <v>19.28</v>
      </c>
      <c r="N11" s="57">
        <v>68.650000000000006</v>
      </c>
      <c r="O11" s="57"/>
      <c r="P11" s="54">
        <f>35.4+35.11+40+16+36.27+42+37+43+41+65+35</f>
        <v>425.78</v>
      </c>
      <c r="Q11" s="13">
        <f>1199.98+707.39</f>
        <v>1907.37</v>
      </c>
      <c r="R11" s="14">
        <f>893.55+305.36</f>
        <v>1198.9099999999999</v>
      </c>
      <c r="S11" s="93">
        <f t="shared" si="0"/>
        <v>3619.99</v>
      </c>
      <c r="T11" s="15"/>
      <c r="U11" s="15"/>
      <c r="V11" s="15"/>
      <c r="W11" s="15"/>
    </row>
    <row r="12" spans="2:37" s="16" customFormat="1" ht="22.5">
      <c r="B12" s="94">
        <v>9</v>
      </c>
      <c r="C12" s="55" t="s">
        <v>299</v>
      </c>
      <c r="D12" s="168" t="s">
        <v>337</v>
      </c>
      <c r="E12" s="230" t="s">
        <v>545</v>
      </c>
      <c r="F12" s="163" t="s">
        <v>338</v>
      </c>
      <c r="G12" s="165" t="s">
        <v>355</v>
      </c>
      <c r="H12" s="9" t="str">
        <f t="shared" si="1"/>
        <v>PARTICIPAR DO EVENTO: HOSPITAL SUMMIT 2019 - ANAHP</v>
      </c>
      <c r="I12" s="9" t="s">
        <v>361</v>
      </c>
      <c r="J12" s="155">
        <v>43586</v>
      </c>
      <c r="K12" s="199">
        <v>21</v>
      </c>
      <c r="L12" s="200">
        <v>22</v>
      </c>
      <c r="M12" s="57">
        <v>147.87</v>
      </c>
      <c r="N12" s="57">
        <v>193.7</v>
      </c>
      <c r="O12" s="57"/>
      <c r="P12" s="54">
        <v>0</v>
      </c>
      <c r="Q12" s="13">
        <v>0</v>
      </c>
      <c r="R12" s="14">
        <v>0</v>
      </c>
      <c r="S12" s="93">
        <f t="shared" si="0"/>
        <v>341.57</v>
      </c>
      <c r="T12" s="15"/>
      <c r="U12" s="15"/>
      <c r="V12" s="15"/>
      <c r="W12" s="15"/>
    </row>
    <row r="13" spans="2:37" s="16" customFormat="1" ht="22.5">
      <c r="B13" s="94">
        <v>10</v>
      </c>
      <c r="C13" s="55" t="s">
        <v>379</v>
      </c>
      <c r="D13" s="168" t="s">
        <v>337</v>
      </c>
      <c r="E13" s="230" t="s">
        <v>545</v>
      </c>
      <c r="F13" s="163" t="s">
        <v>338</v>
      </c>
      <c r="G13" s="164" t="s">
        <v>409</v>
      </c>
      <c r="H13" s="9" t="str">
        <f t="shared" si="1"/>
        <v>VISITA TÉCNICA AO NÚCLEO AVANÇADO DE GERIATRIA DO HOSPITAL SÍRIO-LIBANÊS</v>
      </c>
      <c r="I13" s="9" t="s">
        <v>361</v>
      </c>
      <c r="J13" s="155">
        <v>43586</v>
      </c>
      <c r="K13" s="10">
        <v>20</v>
      </c>
      <c r="L13" s="11">
        <v>20</v>
      </c>
      <c r="M13" s="57">
        <v>28.88</v>
      </c>
      <c r="N13" s="57">
        <v>68.67</v>
      </c>
      <c r="O13" s="57"/>
      <c r="P13" s="54">
        <v>23.7</v>
      </c>
      <c r="Q13" s="13">
        <v>0</v>
      </c>
      <c r="R13" s="14">
        <v>0</v>
      </c>
      <c r="S13" s="93">
        <f t="shared" si="0"/>
        <v>121.25</v>
      </c>
      <c r="T13" s="15"/>
      <c r="U13" s="15"/>
      <c r="V13" s="15"/>
      <c r="W13" s="15"/>
    </row>
    <row r="14" spans="2:37" s="16" customFormat="1" ht="22.5">
      <c r="B14" s="94">
        <v>11</v>
      </c>
      <c r="C14" s="56" t="s">
        <v>367</v>
      </c>
      <c r="D14" s="168" t="s">
        <v>369</v>
      </c>
      <c r="E14" s="230" t="s">
        <v>546</v>
      </c>
      <c r="F14" s="164" t="s">
        <v>370</v>
      </c>
      <c r="G14" s="164" t="s">
        <v>375</v>
      </c>
      <c r="H14" s="9" t="str">
        <f t="shared" si="1"/>
        <v>PARTICIPAÇÃO NA 4ª SEMANA DE OUVIDORIA E ACESSO À INFORMAÇÃO/CGU</v>
      </c>
      <c r="I14" s="9" t="s">
        <v>267</v>
      </c>
      <c r="J14" s="155">
        <v>43586</v>
      </c>
      <c r="K14" s="10">
        <v>12</v>
      </c>
      <c r="L14" s="11">
        <v>16</v>
      </c>
      <c r="M14" s="57">
        <v>0</v>
      </c>
      <c r="N14" s="57">
        <v>0</v>
      </c>
      <c r="O14" s="57"/>
      <c r="P14" s="161">
        <v>0</v>
      </c>
      <c r="Q14" s="13">
        <v>1841.83</v>
      </c>
      <c r="R14" s="14">
        <v>1150</v>
      </c>
      <c r="S14" s="93">
        <f t="shared" si="0"/>
        <v>2991.83</v>
      </c>
      <c r="T14" s="15"/>
      <c r="U14" s="15"/>
      <c r="V14" s="15"/>
      <c r="W14" s="15"/>
    </row>
    <row r="15" spans="2:37" s="16" customFormat="1" ht="22.5">
      <c r="B15" s="94">
        <v>12</v>
      </c>
      <c r="C15" s="56" t="s">
        <v>367</v>
      </c>
      <c r="D15" s="168" t="s">
        <v>371</v>
      </c>
      <c r="E15" s="230" t="s">
        <v>547</v>
      </c>
      <c r="F15" s="164" t="s">
        <v>372</v>
      </c>
      <c r="G15" s="164" t="s">
        <v>375</v>
      </c>
      <c r="H15" s="9" t="str">
        <f t="shared" si="1"/>
        <v>PARTICIPAÇÃO NA 4ª SEMANA DE OUVIDORIA E ACESSO À INFORMAÇÃO/CGU</v>
      </c>
      <c r="I15" s="9" t="s">
        <v>267</v>
      </c>
      <c r="J15" s="155">
        <v>43586</v>
      </c>
      <c r="K15" s="10">
        <v>12</v>
      </c>
      <c r="L15" s="11">
        <v>16</v>
      </c>
      <c r="M15" s="57">
        <v>0</v>
      </c>
      <c r="N15" s="57">
        <v>0</v>
      </c>
      <c r="O15" s="57"/>
      <c r="P15" s="161">
        <v>0</v>
      </c>
      <c r="Q15" s="13">
        <v>1841.83</v>
      </c>
      <c r="R15" s="14">
        <v>1150</v>
      </c>
      <c r="S15" s="93">
        <f t="shared" si="0"/>
        <v>2991.83</v>
      </c>
      <c r="T15" s="15"/>
      <c r="U15" s="15"/>
      <c r="V15" s="15"/>
      <c r="W15" s="15"/>
    </row>
    <row r="16" spans="2:37" s="16" customFormat="1" ht="139.5" customHeight="1">
      <c r="B16" s="94">
        <v>13</v>
      </c>
      <c r="C16" s="56" t="s">
        <v>368</v>
      </c>
      <c r="D16" s="168" t="s">
        <v>373</v>
      </c>
      <c r="E16" s="230" t="s">
        <v>548</v>
      </c>
      <c r="F16" s="164" t="s">
        <v>374</v>
      </c>
      <c r="G16" s="164" t="s">
        <v>376</v>
      </c>
      <c r="H16" s="9" t="str">
        <f t="shared" si="1"/>
        <v>ESTÁGIO EM TRANSPLANTE INTESTINAL E MULTIVISCERAL, COM O OBJETIVO DE FORMAR PROFISSIONAL PARA REALIZAÇÃO DESSES PROCEDIMENTOS NO HCPA. ALÉM DA IDENTIFICAÇÃO DE PROCESSOS DE TRABALHO E DA UTILIZAÇÃO DE INSUMOS E DE SERVIÇOS INERENTES A ESSES PROCEDIMENTO. OBJETIVANDO DEFINIR A INFRAESTRUTURA , OS INSUMOS E SERVIÇOS A SEREM DISPONIBILIZADOS NO HCPA, PARA REALIZAÇÃO DE TRANSPLANTE INTESTINAL E TRANSPLANTE MULTIVISCERAL NO HOSPITAL DE CLÍNICAS NO PERÍODO DE 2019-2021.</v>
      </c>
      <c r="I16" s="10" t="s">
        <v>377</v>
      </c>
      <c r="J16" s="220" t="s">
        <v>378</v>
      </c>
      <c r="K16" s="221">
        <v>5</v>
      </c>
      <c r="L16" s="222">
        <v>1</v>
      </c>
      <c r="M16" s="57">
        <v>0</v>
      </c>
      <c r="N16" s="57">
        <v>0</v>
      </c>
      <c r="O16" s="57"/>
      <c r="P16" s="54"/>
      <c r="Q16" s="13">
        <f>4266.38+2738.24</f>
        <v>7004.62</v>
      </c>
      <c r="R16" s="14">
        <v>7491.87</v>
      </c>
      <c r="S16" s="93">
        <f t="shared" si="0"/>
        <v>14496.49</v>
      </c>
      <c r="T16" s="15"/>
      <c r="U16" s="15"/>
      <c r="V16" s="15"/>
      <c r="W16" s="15"/>
    </row>
    <row r="17" spans="2:23" s="16" customFormat="1" ht="78.75">
      <c r="B17" s="94">
        <v>14</v>
      </c>
      <c r="C17" s="55" t="s">
        <v>291</v>
      </c>
      <c r="D17" s="168" t="s">
        <v>323</v>
      </c>
      <c r="E17" s="230" t="s">
        <v>549</v>
      </c>
      <c r="F17" s="163" t="s">
        <v>324</v>
      </c>
      <c r="G17" s="164" t="s">
        <v>352</v>
      </c>
      <c r="H17" s="9" t="str">
        <f t="shared" si="1"/>
        <v>PARTICIPAÇÃO NO CIRTA/2019 - CONTRIBUIRÁ PARA A CAPACITAÇÃO DA EQUIPE ASSISTENCIAL,  VISANDO MELHORIAS NO ATENDIMENTOS DOS PACIENTES COM FALÊNCIA INTESTINAL,  ASSIM COMO TAMBÉM, CONTRIBUIRÁ PARA A DIVULGAÇÃO INSTITUCIONAL  EM ÂMBITO INTERNACIONAL.</v>
      </c>
      <c r="I17" s="9" t="s">
        <v>359</v>
      </c>
      <c r="J17" s="214" t="s">
        <v>360</v>
      </c>
      <c r="K17" s="10">
        <v>29</v>
      </c>
      <c r="L17" s="11">
        <v>7</v>
      </c>
      <c r="M17" s="57">
        <v>0</v>
      </c>
      <c r="N17" s="57">
        <v>0</v>
      </c>
      <c r="O17" s="57"/>
      <c r="P17" s="54">
        <v>0</v>
      </c>
      <c r="Q17" s="13">
        <f>6415.42+217.8</f>
        <v>6633.22</v>
      </c>
      <c r="R17" s="14">
        <v>4519.9399999999996</v>
      </c>
      <c r="S17" s="93">
        <f t="shared" si="0"/>
        <v>11153.16</v>
      </c>
      <c r="T17" s="15"/>
      <c r="U17" s="15"/>
      <c r="V17" s="15"/>
      <c r="W17" s="15"/>
    </row>
    <row r="18" spans="2:23" s="16" customFormat="1" ht="78.75">
      <c r="B18" s="94">
        <v>15</v>
      </c>
      <c r="C18" s="55" t="s">
        <v>292</v>
      </c>
      <c r="D18" s="168" t="s">
        <v>325</v>
      </c>
      <c r="E18" s="230" t="s">
        <v>550</v>
      </c>
      <c r="F18" s="163" t="s">
        <v>326</v>
      </c>
      <c r="G18" s="164" t="s">
        <v>352</v>
      </c>
      <c r="H18" s="9" t="str">
        <f t="shared" si="1"/>
        <v>PARTICIPAÇÃO NO CIRTA/2019 - CONTRIBUIRÁ PARA A CAPACITAÇÃO DA EQUIPE ASSISTENCIAL,  VISANDO MELHORIAS NO ATENDIMENTOS DOS PACIENTES COM FALÊNCIA INTESTINAL,  ASSIM COMO TAMBÉM, CONTRIBUIRÁ PARA A DIVULGAÇÃO INSTITUCIONAL  EM ÂMBITO INTERNACIONAL.</v>
      </c>
      <c r="I18" s="9" t="s">
        <v>359</v>
      </c>
      <c r="J18" s="214" t="s">
        <v>360</v>
      </c>
      <c r="K18" s="10">
        <v>29</v>
      </c>
      <c r="L18" s="11">
        <v>7</v>
      </c>
      <c r="M18" s="57">
        <v>0</v>
      </c>
      <c r="N18" s="57">
        <v>0</v>
      </c>
      <c r="O18" s="57"/>
      <c r="P18" s="54">
        <v>0</v>
      </c>
      <c r="Q18" s="13">
        <v>6415.42</v>
      </c>
      <c r="R18" s="14">
        <v>4519.9399999999996</v>
      </c>
      <c r="S18" s="93">
        <f t="shared" si="0"/>
        <v>10935.36</v>
      </c>
      <c r="T18" s="15"/>
      <c r="U18" s="15"/>
      <c r="V18" s="15"/>
      <c r="W18" s="15"/>
    </row>
    <row r="19" spans="2:23" s="16" customFormat="1" ht="78.75">
      <c r="B19" s="94">
        <v>16</v>
      </c>
      <c r="C19" s="55" t="s">
        <v>293</v>
      </c>
      <c r="D19" s="168" t="s">
        <v>327</v>
      </c>
      <c r="E19" s="230" t="s">
        <v>551</v>
      </c>
      <c r="F19" s="164" t="s">
        <v>328</v>
      </c>
      <c r="G19" s="164" t="s">
        <v>352</v>
      </c>
      <c r="H19" s="9" t="str">
        <f t="shared" si="1"/>
        <v>PARTICIPAÇÃO NO CIRTA/2019 - CONTRIBUIRÁ PARA A CAPACITAÇÃO DA EQUIPE ASSISTENCIAL,  VISANDO MELHORIAS NO ATENDIMENTOS DOS PACIENTES COM FALÊNCIA INTESTINAL,  ASSIM COMO TAMBÉM, CONTRIBUIRÁ PARA A DIVULGAÇÃO INSTITUCIONAL  EM ÂMBITO INTERNACIONAL.</v>
      </c>
      <c r="I19" s="9" t="s">
        <v>359</v>
      </c>
      <c r="J19" s="214" t="s">
        <v>360</v>
      </c>
      <c r="K19" s="10">
        <v>29</v>
      </c>
      <c r="L19" s="11">
        <v>7</v>
      </c>
      <c r="M19" s="57">
        <v>0</v>
      </c>
      <c r="N19" s="57">
        <v>0</v>
      </c>
      <c r="O19" s="57"/>
      <c r="P19" s="54">
        <v>0</v>
      </c>
      <c r="Q19" s="13">
        <f>6415.42+217.8</f>
        <v>6633.22</v>
      </c>
      <c r="R19" s="14">
        <v>4519.9399999999996</v>
      </c>
      <c r="S19" s="93">
        <f t="shared" si="0"/>
        <v>11153.16</v>
      </c>
      <c r="T19" s="15"/>
      <c r="U19" s="15"/>
      <c r="V19" s="15"/>
      <c r="W19" s="15"/>
    </row>
    <row r="20" spans="2:23" s="16" customFormat="1" ht="12.75">
      <c r="B20" s="94">
        <v>17</v>
      </c>
      <c r="C20" s="55" t="s">
        <v>380</v>
      </c>
      <c r="D20" s="168" t="s">
        <v>107</v>
      </c>
      <c r="E20" s="230" t="s">
        <v>483</v>
      </c>
      <c r="F20" s="9" t="s">
        <v>202</v>
      </c>
      <c r="G20" s="10" t="s">
        <v>342</v>
      </c>
      <c r="H20" s="9" t="str">
        <f t="shared" si="1"/>
        <v>REUNIÃO DO CONSELHO DIRETOR</v>
      </c>
      <c r="I20" s="10" t="s">
        <v>419</v>
      </c>
      <c r="J20" s="17">
        <v>43586</v>
      </c>
      <c r="K20" s="10">
        <v>20</v>
      </c>
      <c r="L20" s="11">
        <v>20</v>
      </c>
      <c r="M20" s="57">
        <v>0</v>
      </c>
      <c r="N20" s="57">
        <v>0</v>
      </c>
      <c r="O20" s="57"/>
      <c r="P20" s="54">
        <v>0</v>
      </c>
      <c r="Q20" s="13">
        <f>0+335+1154</f>
        <v>1489</v>
      </c>
      <c r="R20" s="14">
        <v>0</v>
      </c>
      <c r="S20" s="93">
        <f t="shared" si="0"/>
        <v>1489</v>
      </c>
      <c r="T20" s="15"/>
      <c r="U20" s="15"/>
      <c r="V20" s="15"/>
      <c r="W20" s="15"/>
    </row>
    <row r="21" spans="2:23" s="16" customFormat="1" ht="22.5">
      <c r="B21" s="94">
        <v>18</v>
      </c>
      <c r="C21" s="55" t="s">
        <v>381</v>
      </c>
      <c r="D21" s="168" t="s">
        <v>393</v>
      </c>
      <c r="E21" s="230" t="s">
        <v>552</v>
      </c>
      <c r="F21" s="164" t="s">
        <v>401</v>
      </c>
      <c r="G21" s="164" t="s">
        <v>410</v>
      </c>
      <c r="H21" s="9" t="str">
        <f t="shared" si="1"/>
        <v>MINISTRAR TREINAMENTO MÓDULO EXAMES - PATOLOGIA CIRÚRGICA.</v>
      </c>
      <c r="I21" s="9" t="s">
        <v>65</v>
      </c>
      <c r="J21" s="155">
        <v>43586</v>
      </c>
      <c r="K21" s="10">
        <v>27</v>
      </c>
      <c r="L21" s="11">
        <v>29</v>
      </c>
      <c r="M21" s="57">
        <v>0</v>
      </c>
      <c r="N21" s="57">
        <v>0</v>
      </c>
      <c r="O21" s="57"/>
      <c r="P21" s="54">
        <f>33.95+36.27+35.4+37+51.35</f>
        <v>193.97</v>
      </c>
      <c r="Q21" s="13">
        <v>1590.37</v>
      </c>
      <c r="R21" s="14">
        <f>595.7+117.15</f>
        <v>712.85</v>
      </c>
      <c r="S21" s="93">
        <f t="shared" si="0"/>
        <v>2497.19</v>
      </c>
      <c r="T21" s="15"/>
      <c r="U21" s="15"/>
      <c r="V21" s="15"/>
      <c r="W21" s="15"/>
    </row>
    <row r="22" spans="2:23" s="16" customFormat="1" ht="12.75">
      <c r="B22" s="94">
        <v>19</v>
      </c>
      <c r="C22" s="55" t="s">
        <v>382</v>
      </c>
      <c r="D22" s="259" t="s">
        <v>394</v>
      </c>
      <c r="E22" s="230" t="s">
        <v>553</v>
      </c>
      <c r="F22" s="10" t="s">
        <v>402</v>
      </c>
      <c r="G22" s="164" t="s">
        <v>411</v>
      </c>
      <c r="H22" s="9" t="str">
        <f t="shared" si="1"/>
        <v>PARTICIPAÇÃO NA FEIRA HOSPITALAR 2019</v>
      </c>
      <c r="I22" s="10" t="s">
        <v>358</v>
      </c>
      <c r="J22" s="17">
        <v>43586</v>
      </c>
      <c r="K22" s="10">
        <v>20</v>
      </c>
      <c r="L22" s="11">
        <v>24</v>
      </c>
      <c r="M22" s="57">
        <v>0</v>
      </c>
      <c r="N22" s="57">
        <v>0</v>
      </c>
      <c r="O22" s="57"/>
      <c r="P22" s="54">
        <f>45.22+35.7+44.9+70.5+51+58.5+108.1+71.22</f>
        <v>485.14</v>
      </c>
      <c r="Q22" s="13">
        <v>1018.98</v>
      </c>
      <c r="R22" s="14">
        <f>758.16+237</f>
        <v>995.16</v>
      </c>
      <c r="S22" s="93">
        <f t="shared" si="0"/>
        <v>2499.2799999999997</v>
      </c>
      <c r="T22" s="15"/>
      <c r="U22" s="15"/>
      <c r="V22" s="15"/>
      <c r="W22" s="15"/>
    </row>
    <row r="23" spans="2:23" s="16" customFormat="1" ht="33.75">
      <c r="B23" s="94">
        <v>20</v>
      </c>
      <c r="C23" s="55" t="s">
        <v>383</v>
      </c>
      <c r="D23" s="168" t="s">
        <v>395</v>
      </c>
      <c r="E23" s="230" t="s">
        <v>554</v>
      </c>
      <c r="F23" s="164" t="s">
        <v>403</v>
      </c>
      <c r="G23" s="164" t="s">
        <v>412</v>
      </c>
      <c r="H23" s="9" t="str">
        <f t="shared" si="1"/>
        <v>MINISTRAR TREINAMENTO DO MÓDULO DE FATURAMENTO DE CONVÊNIOS E PARTICULARES - PROJETO AGHUSE - EXÉRCITO</v>
      </c>
      <c r="I23" s="9" t="s">
        <v>65</v>
      </c>
      <c r="J23" s="213">
        <v>43617</v>
      </c>
      <c r="K23" s="10">
        <v>3</v>
      </c>
      <c r="L23" s="11">
        <v>7</v>
      </c>
      <c r="M23" s="57"/>
      <c r="N23" s="57">
        <v>348.96</v>
      </c>
      <c r="O23" s="57"/>
      <c r="P23" s="54">
        <f>56.14+35.69+69.33+72.81+70.2+48</f>
        <v>352.17</v>
      </c>
      <c r="Q23" s="13">
        <v>1440.37</v>
      </c>
      <c r="R23" s="14">
        <f>(1421.4+231.8)/2</f>
        <v>826.6</v>
      </c>
      <c r="S23" s="93">
        <f t="shared" si="0"/>
        <v>2968.1</v>
      </c>
      <c r="T23" s="15"/>
      <c r="U23" s="15"/>
      <c r="V23" s="15"/>
      <c r="W23" s="15"/>
    </row>
    <row r="24" spans="2:23" s="16" customFormat="1" ht="33.75">
      <c r="B24" s="94">
        <v>21</v>
      </c>
      <c r="C24" s="55" t="s">
        <v>384</v>
      </c>
      <c r="D24" s="168" t="s">
        <v>396</v>
      </c>
      <c r="E24" s="230" t="s">
        <v>555</v>
      </c>
      <c r="F24" s="164" t="s">
        <v>404</v>
      </c>
      <c r="G24" s="164" t="s">
        <v>412</v>
      </c>
      <c r="H24" s="9" t="str">
        <f t="shared" si="1"/>
        <v>MINISTRAR TREINAMENTO DO MÓDULO DE FATURAMENTO DE CONVÊNIOS E PARTICULARES - PROJETO AGHUSE - EXÉRCITO</v>
      </c>
      <c r="I24" s="9" t="s">
        <v>65</v>
      </c>
      <c r="J24" s="213">
        <v>43617</v>
      </c>
      <c r="K24" s="10">
        <v>3</v>
      </c>
      <c r="L24" s="11">
        <v>7</v>
      </c>
      <c r="M24" s="57"/>
      <c r="N24" s="57">
        <v>264.5</v>
      </c>
      <c r="O24" s="57"/>
      <c r="P24" s="54">
        <f>42+33+56+70+40+19+33+47</f>
        <v>340</v>
      </c>
      <c r="Q24" s="13">
        <v>1440.37</v>
      </c>
      <c r="R24" s="14">
        <v>826.6</v>
      </c>
      <c r="S24" s="93">
        <f t="shared" si="0"/>
        <v>2871.47</v>
      </c>
      <c r="T24" s="15"/>
      <c r="U24" s="15"/>
      <c r="V24" s="15"/>
      <c r="W24" s="15"/>
    </row>
    <row r="25" spans="2:23" s="16" customFormat="1" ht="22.5">
      <c r="B25" s="94">
        <v>22</v>
      </c>
      <c r="C25" s="55" t="s">
        <v>385</v>
      </c>
      <c r="D25" s="168" t="s">
        <v>397</v>
      </c>
      <c r="E25" s="230" t="s">
        <v>556</v>
      </c>
      <c r="F25" s="164" t="s">
        <v>405</v>
      </c>
      <c r="G25" s="164" t="s">
        <v>413</v>
      </c>
      <c r="H25" s="9" t="str">
        <f t="shared" si="1"/>
        <v>REUNIÃO DO COMITÊ ESTRATÉGICO DA COMUNIDADE AGHUSE</v>
      </c>
      <c r="I25" s="10" t="s">
        <v>267</v>
      </c>
      <c r="J25" s="17">
        <v>43586</v>
      </c>
      <c r="K25" s="10">
        <v>28</v>
      </c>
      <c r="L25" s="11">
        <v>29</v>
      </c>
      <c r="M25" s="57">
        <f>59.48+64</f>
        <v>123.47999999999999</v>
      </c>
      <c r="N25" s="57">
        <v>63.25</v>
      </c>
      <c r="O25" s="57"/>
      <c r="P25" s="54"/>
      <c r="Q25" s="13">
        <f>1030.08+810.85</f>
        <v>1840.9299999999998</v>
      </c>
      <c r="R25" s="14">
        <v>322.87</v>
      </c>
      <c r="S25" s="93">
        <f t="shared" si="0"/>
        <v>2350.5299999999997</v>
      </c>
      <c r="T25" s="15"/>
      <c r="U25" s="15"/>
      <c r="V25" s="15"/>
      <c r="W25" s="15"/>
    </row>
    <row r="26" spans="2:23" s="16" customFormat="1" ht="22.5">
      <c r="B26" s="94">
        <v>23</v>
      </c>
      <c r="C26" s="55" t="s">
        <v>386</v>
      </c>
      <c r="D26" s="168" t="s">
        <v>398</v>
      </c>
      <c r="E26" s="230" t="s">
        <v>499</v>
      </c>
      <c r="F26" s="164" t="s">
        <v>214</v>
      </c>
      <c r="G26" s="164" t="s">
        <v>413</v>
      </c>
      <c r="H26" s="9" t="str">
        <f t="shared" si="1"/>
        <v>REUNIÃO DO COMITÊ ESTRATÉGICO DA COMUNIDADE AGHUSE</v>
      </c>
      <c r="I26" s="10" t="s">
        <v>267</v>
      </c>
      <c r="J26" s="17">
        <v>43587</v>
      </c>
      <c r="K26" s="10">
        <v>28</v>
      </c>
      <c r="L26" s="11">
        <v>29</v>
      </c>
      <c r="M26" s="57">
        <f>25.57+64</f>
        <v>89.57</v>
      </c>
      <c r="N26" s="57">
        <v>52.8</v>
      </c>
      <c r="O26" s="57"/>
      <c r="P26" s="54"/>
      <c r="Q26" s="13">
        <f>1030.08+810.85</f>
        <v>1840.9299999999998</v>
      </c>
      <c r="R26" s="14">
        <f>322.87+6.05</f>
        <v>328.92</v>
      </c>
      <c r="S26" s="93">
        <f t="shared" si="0"/>
        <v>2312.2199999999998</v>
      </c>
      <c r="T26" s="15"/>
      <c r="U26" s="15"/>
      <c r="V26" s="15"/>
      <c r="W26" s="15"/>
    </row>
    <row r="27" spans="2:23" s="16" customFormat="1" ht="22.5">
      <c r="B27" s="94">
        <v>24</v>
      </c>
      <c r="C27" s="55" t="s">
        <v>387</v>
      </c>
      <c r="D27" s="168" t="s">
        <v>104</v>
      </c>
      <c r="E27" s="238" t="s">
        <v>505</v>
      </c>
      <c r="F27" s="164" t="s">
        <v>310</v>
      </c>
      <c r="G27" s="164" t="s">
        <v>413</v>
      </c>
      <c r="H27" s="9" t="str">
        <f t="shared" si="1"/>
        <v>REUNIÃO DO COMITÊ ESTRATÉGICO DA COMUNIDADE AGHUSE</v>
      </c>
      <c r="I27" s="10" t="s">
        <v>267</v>
      </c>
      <c r="J27" s="17">
        <v>43588</v>
      </c>
      <c r="K27" s="10">
        <v>28</v>
      </c>
      <c r="L27" s="11">
        <v>29</v>
      </c>
      <c r="M27" s="57">
        <v>37.92</v>
      </c>
      <c r="N27" s="57">
        <v>153</v>
      </c>
      <c r="O27" s="57"/>
      <c r="P27" s="54"/>
      <c r="Q27" s="13">
        <f>1030.08+810.85</f>
        <v>1840.9299999999998</v>
      </c>
      <c r="R27" s="14">
        <v>322.87</v>
      </c>
      <c r="S27" s="93">
        <f t="shared" si="0"/>
        <v>2354.7199999999998</v>
      </c>
      <c r="T27" s="15"/>
      <c r="U27" s="15"/>
      <c r="V27" s="15"/>
      <c r="W27" s="15"/>
    </row>
    <row r="28" spans="2:23" s="16" customFormat="1" ht="22.5">
      <c r="B28" s="94">
        <v>25</v>
      </c>
      <c r="C28" s="55" t="s">
        <v>388</v>
      </c>
      <c r="D28" s="168" t="s">
        <v>204</v>
      </c>
      <c r="E28" s="230" t="s">
        <v>494</v>
      </c>
      <c r="F28" s="164" t="s">
        <v>205</v>
      </c>
      <c r="G28" s="164" t="s">
        <v>414</v>
      </c>
      <c r="H28" s="9" t="str">
        <f t="shared" si="1"/>
        <v>PARTICIPAÇÃO NO 2º ENCONTRO NACIONAL DAS ESTATAIS</v>
      </c>
      <c r="I28" s="9" t="s">
        <v>65</v>
      </c>
      <c r="J28" s="17">
        <v>43586</v>
      </c>
      <c r="K28" s="10">
        <v>27</v>
      </c>
      <c r="L28" s="11">
        <v>29</v>
      </c>
      <c r="M28" s="57"/>
      <c r="N28" s="57">
        <v>45</v>
      </c>
      <c r="O28" s="57"/>
      <c r="P28" s="54">
        <f>49.9+46.71</f>
        <v>96.61</v>
      </c>
      <c r="Q28" s="13">
        <v>2521.37</v>
      </c>
      <c r="R28" s="14">
        <f>816.9+157.25</f>
        <v>974.15</v>
      </c>
      <c r="S28" s="93">
        <f t="shared" si="0"/>
        <v>3637.13</v>
      </c>
      <c r="T28" s="15"/>
      <c r="U28" s="15"/>
      <c r="V28" s="15"/>
      <c r="W28" s="15"/>
    </row>
    <row r="29" spans="2:23" s="16" customFormat="1" ht="33.75">
      <c r="B29" s="94">
        <v>26</v>
      </c>
      <c r="C29" s="55" t="s">
        <v>389</v>
      </c>
      <c r="D29" s="168" t="s">
        <v>231</v>
      </c>
      <c r="E29" s="238" t="s">
        <v>518</v>
      </c>
      <c r="F29" s="164" t="s">
        <v>232</v>
      </c>
      <c r="G29" s="164" t="s">
        <v>415</v>
      </c>
      <c r="H29" s="9" t="str">
        <f t="shared" si="1"/>
        <v>TROCA DE EXPERIÊNCIAS GLOBAIS NO SEMINÁRIO A SUSTENTABILIDADE DO SISTEMA DE SAÚDE DO BRASIL</v>
      </c>
      <c r="I29" s="9" t="s">
        <v>358</v>
      </c>
      <c r="J29" s="17">
        <v>43586</v>
      </c>
      <c r="K29" s="10">
        <v>23</v>
      </c>
      <c r="L29" s="11">
        <v>23</v>
      </c>
      <c r="M29" s="57">
        <f>69.28+32</f>
        <v>101.28</v>
      </c>
      <c r="N29" s="57">
        <v>43.8</v>
      </c>
      <c r="O29" s="57"/>
      <c r="P29" s="54">
        <v>0</v>
      </c>
      <c r="Q29" s="13">
        <f>1182.98+1566.85</f>
        <v>2749.83</v>
      </c>
      <c r="R29" s="14">
        <v>0</v>
      </c>
      <c r="S29" s="93">
        <f t="shared" si="0"/>
        <v>2894.91</v>
      </c>
      <c r="T29" s="15"/>
      <c r="U29" s="15"/>
      <c r="V29" s="15"/>
      <c r="W29" s="15"/>
    </row>
    <row r="30" spans="2:23" s="16" customFormat="1" ht="22.5">
      <c r="B30" s="94">
        <v>27</v>
      </c>
      <c r="C30" s="55" t="s">
        <v>390</v>
      </c>
      <c r="D30" s="168" t="s">
        <v>399</v>
      </c>
      <c r="E30" s="238" t="s">
        <v>557</v>
      </c>
      <c r="F30" s="9" t="s">
        <v>406</v>
      </c>
      <c r="G30" s="164" t="s">
        <v>416</v>
      </c>
      <c r="H30" s="9" t="str">
        <f t="shared" si="1"/>
        <v>PARTICIPAR DE SEMINÁRIO DE COMPRAS PÚBLICAS CENTRALIZADAS - ENAP BRASILIA</v>
      </c>
      <c r="I30" s="9" t="s">
        <v>65</v>
      </c>
      <c r="J30" s="17">
        <v>43586</v>
      </c>
      <c r="K30" s="10">
        <v>30</v>
      </c>
      <c r="L30" s="11">
        <v>31</v>
      </c>
      <c r="M30" s="57"/>
      <c r="N30" s="57">
        <v>93.17</v>
      </c>
      <c r="O30" s="57"/>
      <c r="P30" s="54">
        <f>30+64+34+30+61</f>
        <v>219</v>
      </c>
      <c r="Q30" s="13">
        <v>2490.37</v>
      </c>
      <c r="R30" s="14">
        <f>418.95+94.45</f>
        <v>513.4</v>
      </c>
      <c r="S30" s="93">
        <f t="shared" si="0"/>
        <v>3315.94</v>
      </c>
      <c r="T30" s="15"/>
      <c r="U30" s="15"/>
      <c r="V30" s="15"/>
      <c r="W30" s="15"/>
    </row>
    <row r="31" spans="2:23" s="16" customFormat="1" ht="22.5">
      <c r="B31" s="94">
        <v>28</v>
      </c>
      <c r="C31" s="55" t="s">
        <v>391</v>
      </c>
      <c r="D31" s="168" t="s">
        <v>302</v>
      </c>
      <c r="E31" s="230" t="s">
        <v>529</v>
      </c>
      <c r="F31" s="164" t="s">
        <v>303</v>
      </c>
      <c r="G31" s="164" t="s">
        <v>417</v>
      </c>
      <c r="H31" s="9" t="str">
        <f t="shared" si="1"/>
        <v>AGHUSE - IMPLANTAÇÃO EXAMES LABORATORIAIS NO HMAB</v>
      </c>
      <c r="I31" s="9" t="s">
        <v>65</v>
      </c>
      <c r="J31" s="213">
        <v>43617</v>
      </c>
      <c r="K31" s="10">
        <v>9</v>
      </c>
      <c r="L31" s="11">
        <v>13</v>
      </c>
      <c r="M31" s="57"/>
      <c r="N31" s="57">
        <v>344.64</v>
      </c>
      <c r="O31" s="57"/>
      <c r="P31" s="54">
        <f>83.7+37.14+40+32.5+41.2+33+35.69+32.21+79.54</f>
        <v>414.98</v>
      </c>
      <c r="Q31" s="13">
        <f>1285.98+724.39</f>
        <v>2010.37</v>
      </c>
      <c r="R31" s="14">
        <f>1191.4+22</f>
        <v>1213.4000000000001</v>
      </c>
      <c r="S31" s="93">
        <f t="shared" si="0"/>
        <v>3983.39</v>
      </c>
      <c r="T31" s="15"/>
      <c r="U31" s="15"/>
      <c r="V31" s="15"/>
      <c r="W31" s="15"/>
    </row>
    <row r="32" spans="2:23" s="16" customFormat="1" ht="22.5">
      <c r="B32" s="94">
        <v>29</v>
      </c>
      <c r="C32" s="55" t="s">
        <v>392</v>
      </c>
      <c r="D32" s="168" t="s">
        <v>400</v>
      </c>
      <c r="E32" s="230" t="s">
        <v>539</v>
      </c>
      <c r="F32" s="164" t="s">
        <v>136</v>
      </c>
      <c r="G32" s="164" t="s">
        <v>417</v>
      </c>
      <c r="H32" s="9" t="str">
        <f t="shared" si="1"/>
        <v>AGHUSE - IMPLANTAÇÃO EXAMES LABORATORIAIS NO HMAB</v>
      </c>
      <c r="I32" s="9" t="s">
        <v>65</v>
      </c>
      <c r="J32" s="213">
        <v>43617</v>
      </c>
      <c r="K32" s="10">
        <v>9</v>
      </c>
      <c r="L32" s="11">
        <v>13</v>
      </c>
      <c r="M32" s="57"/>
      <c r="N32" s="57">
        <v>306.67</v>
      </c>
      <c r="O32" s="57"/>
      <c r="P32" s="54">
        <f>30+32+38+35+58+69+49+34</f>
        <v>345</v>
      </c>
      <c r="Q32" s="13">
        <f>1285.98+724.39</f>
        <v>2010.37</v>
      </c>
      <c r="R32" s="14">
        <f>1191.4+44</f>
        <v>1235.4000000000001</v>
      </c>
      <c r="S32" s="93">
        <f t="shared" si="0"/>
        <v>3897.44</v>
      </c>
      <c r="T32" s="15"/>
      <c r="U32" s="15"/>
      <c r="V32" s="15"/>
      <c r="W32" s="15"/>
    </row>
    <row r="33" spans="2:19" s="15" customFormat="1" ht="12.75" thickBot="1">
      <c r="B33" s="19"/>
      <c r="C33" s="20"/>
      <c r="D33" s="21"/>
      <c r="E33" s="21"/>
      <c r="F33" s="21"/>
      <c r="G33" s="21"/>
      <c r="H33" s="21"/>
      <c r="I33" s="21"/>
      <c r="J33" s="22"/>
      <c r="K33" s="23"/>
      <c r="L33" s="24"/>
      <c r="M33" s="25"/>
      <c r="N33" s="25"/>
      <c r="O33" s="25"/>
      <c r="P33" s="26"/>
      <c r="Q33" s="27"/>
      <c r="R33" s="28"/>
      <c r="S33" s="29"/>
    </row>
    <row r="34" spans="2:19" s="30" customFormat="1" ht="16.5" thickBot="1">
      <c r="B34" s="284" t="s">
        <v>31</v>
      </c>
      <c r="C34" s="31"/>
      <c r="D34" s="147" t="s">
        <v>41</v>
      </c>
      <c r="E34" s="184"/>
      <c r="F34" s="31"/>
      <c r="G34" s="31"/>
      <c r="H34" s="31"/>
      <c r="I34" s="33"/>
      <c r="J34" s="31"/>
      <c r="K34" s="19"/>
      <c r="L34" s="32"/>
      <c r="M34" s="35">
        <f t="shared" ref="M34:R34" si="2">SUM(M4:M32)</f>
        <v>930.56999999999982</v>
      </c>
      <c r="N34" s="35">
        <f t="shared" si="2"/>
        <v>2863.28</v>
      </c>
      <c r="O34" s="35">
        <f t="shared" si="2"/>
        <v>0</v>
      </c>
      <c r="P34" s="120">
        <f t="shared" si="2"/>
        <v>4287.5600000000004</v>
      </c>
      <c r="Q34" s="37">
        <f t="shared" si="2"/>
        <v>68277.210000000006</v>
      </c>
      <c r="R34" s="38">
        <f t="shared" si="2"/>
        <v>42039.540000000008</v>
      </c>
      <c r="S34" s="36">
        <f>SUM(S4:S32)+P35</f>
        <v>118441.03560000002</v>
      </c>
    </row>
    <row r="35" spans="2:19" s="39" customFormat="1" ht="16.5" thickBot="1">
      <c r="C35" s="40"/>
      <c r="D35" s="358"/>
      <c r="E35" s="358"/>
      <c r="F35" s="358"/>
      <c r="G35" s="358"/>
      <c r="H35" s="358"/>
      <c r="I35" s="358"/>
      <c r="J35" s="358"/>
      <c r="K35" s="358"/>
      <c r="L35" s="41"/>
      <c r="M35" s="42"/>
      <c r="N35" s="42"/>
      <c r="O35" s="87" t="s">
        <v>31</v>
      </c>
      <c r="P35" s="26">
        <f>P34*1%</f>
        <v>42.875600000000006</v>
      </c>
      <c r="S35" s="43"/>
    </row>
    <row r="36" spans="2:19" s="39" customFormat="1" ht="16.5" thickBot="1">
      <c r="C36" s="40"/>
      <c r="D36" s="217"/>
      <c r="E36" s="217"/>
      <c r="F36" s="217"/>
      <c r="G36" s="40"/>
      <c r="H36" s="40"/>
      <c r="I36" s="44"/>
      <c r="J36" s="40"/>
      <c r="K36" s="40"/>
      <c r="L36" s="41"/>
      <c r="M36" s="42"/>
      <c r="N36" s="42"/>
      <c r="O36" s="42"/>
      <c r="P36" s="89">
        <f>P34+P35</f>
        <v>4330.4356000000007</v>
      </c>
      <c r="Q36" s="45"/>
      <c r="R36" s="43"/>
      <c r="S36" s="46" t="s">
        <v>8</v>
      </c>
    </row>
    <row r="37" spans="2:19" s="39" customFormat="1">
      <c r="C37" s="40"/>
      <c r="D37" s="359"/>
      <c r="E37" s="359"/>
      <c r="F37" s="359"/>
      <c r="G37" s="359"/>
      <c r="H37" s="359"/>
      <c r="I37" s="359"/>
      <c r="J37" s="359"/>
      <c r="K37" s="359"/>
      <c r="L37" s="41"/>
      <c r="M37" s="42"/>
      <c r="N37" s="42"/>
      <c r="O37" s="42"/>
      <c r="P37" s="26"/>
      <c r="Q37" s="5" t="s">
        <v>7</v>
      </c>
      <c r="R37" s="138">
        <f>M34+N34+O34+P36+Q34+R34</f>
        <v>118441.03560000002</v>
      </c>
      <c r="S37" s="47">
        <f>S34-R37</f>
        <v>0</v>
      </c>
    </row>
    <row r="38" spans="2:19" ht="15.75">
      <c r="C38" s="48"/>
      <c r="D38" s="49"/>
      <c r="E38" s="49"/>
      <c r="F38" s="49"/>
      <c r="G38" s="49"/>
      <c r="H38" s="49"/>
      <c r="I38" s="50"/>
      <c r="J38" s="51"/>
      <c r="K38" s="51"/>
      <c r="L38" s="51"/>
      <c r="O38" s="87" t="s">
        <v>31</v>
      </c>
      <c r="P38" s="26" t="s">
        <v>32</v>
      </c>
    </row>
    <row r="39" spans="2:19">
      <c r="C39" s="48"/>
      <c r="D39" s="49"/>
      <c r="E39" s="49"/>
      <c r="F39" s="49"/>
      <c r="G39" s="49"/>
      <c r="H39" s="49"/>
      <c r="I39" s="50"/>
      <c r="J39" s="51"/>
      <c r="K39" s="51"/>
      <c r="L39" s="51"/>
      <c r="P39" s="26"/>
    </row>
    <row r="40" spans="2:19">
      <c r="C40" s="48"/>
      <c r="D40" s="49"/>
      <c r="E40" s="49"/>
      <c r="F40" s="49"/>
      <c r="G40" s="49"/>
      <c r="H40" s="49"/>
      <c r="I40" s="50"/>
      <c r="J40" s="51"/>
      <c r="K40" s="51"/>
      <c r="L40" s="51"/>
      <c r="P40" s="26"/>
    </row>
    <row r="41" spans="2:19">
      <c r="C41" s="48"/>
      <c r="D41" s="49"/>
      <c r="E41" s="49"/>
      <c r="F41" s="49"/>
      <c r="G41" s="49"/>
      <c r="H41" s="49"/>
      <c r="I41" s="50"/>
      <c r="J41" s="51"/>
      <c r="K41" s="51"/>
      <c r="L41" s="51"/>
      <c r="P41" s="26"/>
    </row>
    <row r="42" spans="2:19">
      <c r="C42" s="48"/>
      <c r="D42" s="49"/>
      <c r="E42" s="49"/>
      <c r="F42" s="49"/>
      <c r="G42" s="49"/>
      <c r="H42" s="49"/>
      <c r="I42" s="50"/>
      <c r="J42" s="51"/>
      <c r="K42" s="51"/>
      <c r="L42" s="51"/>
      <c r="P42" s="26"/>
    </row>
    <row r="43" spans="2:19">
      <c r="C43" s="48"/>
      <c r="D43" s="49"/>
      <c r="E43" s="49"/>
      <c r="F43" s="49"/>
      <c r="G43" s="49"/>
      <c r="H43" s="49"/>
      <c r="I43" s="50"/>
      <c r="J43" s="51"/>
      <c r="K43" s="51"/>
      <c r="L43" s="51"/>
      <c r="P43" s="26"/>
    </row>
    <row r="44" spans="2:19">
      <c r="C44" s="48"/>
      <c r="D44" s="49"/>
      <c r="E44" s="49"/>
      <c r="F44" s="49"/>
      <c r="G44" s="49"/>
      <c r="H44" s="49"/>
      <c r="I44" s="50"/>
      <c r="J44" s="51"/>
      <c r="K44" s="51"/>
      <c r="L44" s="51"/>
      <c r="P44" s="26"/>
      <c r="Q44"/>
      <c r="R44"/>
      <c r="S44"/>
    </row>
    <row r="45" spans="2:19">
      <c r="C45" s="48"/>
      <c r="D45" s="49"/>
      <c r="E45" s="49"/>
      <c r="F45" s="49"/>
      <c r="G45" s="49"/>
      <c r="H45" s="49"/>
      <c r="I45" s="50"/>
      <c r="J45" s="51"/>
      <c r="K45" s="51"/>
      <c r="L45" s="51"/>
      <c r="P45" s="26"/>
      <c r="Q45"/>
      <c r="R45"/>
      <c r="S45"/>
    </row>
    <row r="46" spans="2:19">
      <c r="C46" s="48"/>
      <c r="I46" s="50"/>
      <c r="J46" s="51"/>
      <c r="K46" s="51"/>
      <c r="L46" s="51"/>
      <c r="P46" s="26"/>
      <c r="Q46"/>
      <c r="R46"/>
      <c r="S46"/>
    </row>
    <row r="47" spans="2:19">
      <c r="C47" s="48"/>
      <c r="D47" s="49"/>
      <c r="E47" s="49"/>
      <c r="F47" s="49"/>
      <c r="G47" s="49"/>
      <c r="H47" s="49"/>
      <c r="I47" s="50"/>
      <c r="J47" s="51"/>
      <c r="K47" s="51"/>
      <c r="L47" s="51"/>
      <c r="P47" s="26"/>
      <c r="Q47"/>
      <c r="R47"/>
      <c r="S47"/>
    </row>
    <row r="48" spans="2:19">
      <c r="C48" s="48"/>
      <c r="D48" s="49"/>
      <c r="E48" s="49"/>
      <c r="F48" s="49"/>
      <c r="G48" s="49"/>
      <c r="H48" s="49"/>
      <c r="I48" s="50"/>
      <c r="J48" s="51"/>
      <c r="K48" s="51"/>
      <c r="L48" s="51"/>
      <c r="P48" s="52"/>
      <c r="Q48"/>
      <c r="R48"/>
      <c r="S48"/>
    </row>
    <row r="49" spans="3:19" ht="15.75">
      <c r="C49" s="48"/>
      <c r="D49" s="49"/>
      <c r="E49" s="49"/>
      <c r="F49" s="49"/>
      <c r="G49" s="49"/>
      <c r="H49" s="49"/>
      <c r="I49" s="50"/>
      <c r="J49" s="51"/>
      <c r="K49" s="51"/>
      <c r="L49" s="51"/>
      <c r="P49" s="39"/>
      <c r="Q49"/>
      <c r="R49"/>
      <c r="S49"/>
    </row>
    <row r="50" spans="3:19" ht="15.75">
      <c r="C50" s="48"/>
      <c r="D50" s="49"/>
      <c r="E50" s="49"/>
      <c r="F50" s="49"/>
      <c r="G50" s="49"/>
      <c r="H50" s="49"/>
      <c r="I50" s="50"/>
      <c r="J50" s="51"/>
      <c r="K50" s="51"/>
      <c r="L50" s="51"/>
      <c r="P50" s="39"/>
      <c r="Q50"/>
      <c r="R50"/>
      <c r="S50"/>
    </row>
    <row r="51" spans="3:19" ht="15.75">
      <c r="C51" s="48"/>
      <c r="D51" s="49"/>
      <c r="E51" s="49"/>
      <c r="F51" s="49"/>
      <c r="G51" s="49"/>
      <c r="H51" s="49"/>
      <c r="I51" s="50"/>
      <c r="J51" s="51"/>
      <c r="K51" s="51"/>
      <c r="L51" s="51"/>
      <c r="P51" s="39"/>
      <c r="Q51"/>
      <c r="R51"/>
      <c r="S51"/>
    </row>
    <row r="52" spans="3:19">
      <c r="C52" s="48"/>
      <c r="D52" s="49"/>
      <c r="E52" s="49"/>
      <c r="F52" s="49"/>
      <c r="G52" s="49"/>
      <c r="H52" s="49"/>
      <c r="I52" s="50"/>
      <c r="J52" s="51"/>
      <c r="K52" s="51"/>
      <c r="L52" s="51"/>
      <c r="Q52"/>
      <c r="R52"/>
      <c r="S52"/>
    </row>
    <row r="53" spans="3:19">
      <c r="C53" s="48"/>
      <c r="D53" s="49"/>
      <c r="E53" s="49"/>
      <c r="F53" s="49"/>
      <c r="G53" s="49"/>
      <c r="H53" s="49"/>
      <c r="I53" s="50"/>
      <c r="J53" s="51"/>
      <c r="K53" s="51"/>
      <c r="L53" s="51"/>
      <c r="Q53"/>
      <c r="R53"/>
      <c r="S53"/>
    </row>
    <row r="54" spans="3:19">
      <c r="C54" s="48"/>
      <c r="D54" s="49"/>
      <c r="E54" s="49"/>
      <c r="F54" s="49"/>
      <c r="G54" s="49"/>
      <c r="H54" s="49"/>
      <c r="I54" s="50"/>
      <c r="J54" s="51"/>
      <c r="K54" s="51"/>
      <c r="L54" s="51"/>
      <c r="Q54"/>
      <c r="R54"/>
      <c r="S54"/>
    </row>
    <row r="55" spans="3:19">
      <c r="C55" s="48"/>
      <c r="D55" s="49"/>
      <c r="E55" s="49"/>
      <c r="F55" s="49"/>
      <c r="G55" s="49"/>
      <c r="H55" s="49"/>
      <c r="I55" s="50"/>
      <c r="J55" s="51"/>
      <c r="K55" s="51"/>
      <c r="L55" s="51"/>
      <c r="Q55"/>
      <c r="R55"/>
      <c r="S55"/>
    </row>
    <row r="56" spans="3:19">
      <c r="C56" s="48"/>
      <c r="D56" s="49"/>
      <c r="E56" s="49"/>
      <c r="F56" s="49"/>
      <c r="G56" s="49"/>
      <c r="H56" s="49"/>
      <c r="I56" s="50"/>
      <c r="J56" s="51"/>
      <c r="K56" s="51"/>
      <c r="L56" s="51"/>
      <c r="Q56"/>
      <c r="R56"/>
      <c r="S56"/>
    </row>
    <row r="57" spans="3:19">
      <c r="C57" s="48"/>
      <c r="D57" s="49"/>
      <c r="E57" s="49"/>
      <c r="F57" s="49"/>
      <c r="G57" s="49"/>
      <c r="H57" s="49"/>
      <c r="I57" s="50"/>
      <c r="J57" s="51"/>
      <c r="K57" s="51"/>
      <c r="L57" s="51"/>
      <c r="Q57"/>
      <c r="R57"/>
      <c r="S57"/>
    </row>
    <row r="58" spans="3:19">
      <c r="C58" s="48"/>
      <c r="D58" s="49"/>
      <c r="E58" s="49"/>
      <c r="F58" s="49"/>
      <c r="G58" s="49"/>
      <c r="H58" s="49"/>
      <c r="I58" s="50"/>
      <c r="J58" s="51"/>
      <c r="K58" s="51"/>
      <c r="L58" s="51"/>
      <c r="Q58"/>
      <c r="R58"/>
      <c r="S58"/>
    </row>
    <row r="59" spans="3:19">
      <c r="C59" s="48"/>
      <c r="D59" s="49"/>
      <c r="E59" s="49"/>
      <c r="F59" s="49"/>
      <c r="G59" s="49"/>
      <c r="H59" s="49"/>
      <c r="I59" s="50"/>
      <c r="J59" s="51"/>
      <c r="K59" s="51"/>
      <c r="L59" s="51"/>
      <c r="Q59"/>
      <c r="R59"/>
      <c r="S59"/>
    </row>
    <row r="60" spans="3:19">
      <c r="C60" s="48"/>
      <c r="D60" s="49"/>
      <c r="E60" s="49"/>
      <c r="F60" s="49"/>
      <c r="G60" s="49"/>
      <c r="H60" s="49"/>
      <c r="I60" s="50"/>
      <c r="J60" s="51"/>
      <c r="K60" s="51"/>
      <c r="L60" s="51"/>
      <c r="M60"/>
      <c r="N60"/>
      <c r="O60"/>
      <c r="Q60"/>
      <c r="R60"/>
      <c r="S60"/>
    </row>
    <row r="61" spans="3:19">
      <c r="C61" s="48"/>
      <c r="D61" s="49"/>
      <c r="E61" s="49"/>
      <c r="F61" s="49"/>
      <c r="G61" s="49"/>
      <c r="H61" s="49"/>
      <c r="I61" s="50"/>
      <c r="J61" s="51"/>
      <c r="K61" s="51"/>
      <c r="L61" s="51"/>
      <c r="M61"/>
      <c r="N61"/>
      <c r="O61"/>
      <c r="Q61"/>
      <c r="R61"/>
      <c r="S61"/>
    </row>
    <row r="62" spans="3:19">
      <c r="C62" s="48"/>
      <c r="D62" s="49"/>
      <c r="E62" s="49"/>
      <c r="F62" s="49"/>
      <c r="G62" s="49"/>
      <c r="H62" s="49"/>
      <c r="I62" s="50"/>
      <c r="J62" s="51"/>
      <c r="K62" s="51"/>
      <c r="L62" s="51"/>
      <c r="M62"/>
      <c r="N62"/>
      <c r="O62"/>
      <c r="Q62"/>
      <c r="R62"/>
      <c r="S62"/>
    </row>
    <row r="63" spans="3:19">
      <c r="C63" s="48"/>
      <c r="D63" s="49"/>
      <c r="E63" s="49"/>
      <c r="F63" s="49"/>
      <c r="G63" s="49"/>
      <c r="H63" s="49"/>
      <c r="I63" s="50"/>
      <c r="J63" s="51"/>
      <c r="K63" s="51"/>
      <c r="L63" s="51"/>
      <c r="M63"/>
      <c r="N63"/>
      <c r="O63"/>
      <c r="Q63"/>
      <c r="R63"/>
      <c r="S63"/>
    </row>
    <row r="64" spans="3:19">
      <c r="C64" s="48"/>
      <c r="D64" s="49"/>
      <c r="E64" s="49"/>
      <c r="F64" s="49"/>
      <c r="G64" s="49"/>
      <c r="H64" s="49"/>
      <c r="I64" s="50"/>
      <c r="J64" s="51"/>
      <c r="K64" s="51"/>
      <c r="L64" s="51"/>
      <c r="M64"/>
      <c r="N64"/>
      <c r="O64"/>
      <c r="Q64"/>
      <c r="R64"/>
      <c r="S64"/>
    </row>
    <row r="65" spans="3:19">
      <c r="C65" s="48"/>
      <c r="D65" s="49"/>
      <c r="E65" s="49"/>
      <c r="F65" s="49"/>
      <c r="G65" s="49"/>
      <c r="H65" s="49"/>
      <c r="I65" s="50"/>
      <c r="J65" s="51"/>
      <c r="K65" s="51"/>
      <c r="L65" s="51"/>
      <c r="M65"/>
      <c r="N65"/>
      <c r="O65"/>
      <c r="Q65"/>
      <c r="R65"/>
      <c r="S65"/>
    </row>
    <row r="66" spans="3:19">
      <c r="C66" s="48"/>
      <c r="D66" s="49"/>
      <c r="E66" s="49"/>
      <c r="F66" s="49"/>
      <c r="G66" s="49"/>
      <c r="H66" s="49"/>
      <c r="I66" s="50"/>
      <c r="J66" s="51"/>
      <c r="K66" s="51"/>
      <c r="L66" s="51"/>
      <c r="M66"/>
      <c r="N66"/>
      <c r="O66"/>
      <c r="Q66"/>
      <c r="R66"/>
      <c r="S66"/>
    </row>
    <row r="67" spans="3:19">
      <c r="C67" s="48"/>
      <c r="D67" s="49"/>
      <c r="E67" s="49"/>
      <c r="F67" s="49"/>
      <c r="G67" s="49"/>
      <c r="H67" s="49"/>
      <c r="I67" s="50"/>
      <c r="J67" s="51"/>
      <c r="K67" s="51"/>
      <c r="L67" s="51"/>
      <c r="M67"/>
      <c r="N67"/>
      <c r="O67"/>
      <c r="Q67"/>
      <c r="R67"/>
      <c r="S67"/>
    </row>
    <row r="68" spans="3:19">
      <c r="C68" s="48"/>
      <c r="D68" s="49"/>
      <c r="E68" s="49"/>
      <c r="F68" s="49"/>
      <c r="G68" s="49"/>
      <c r="H68" s="49"/>
      <c r="I68" s="50"/>
      <c r="J68" s="51"/>
      <c r="K68" s="51"/>
      <c r="L68" s="51"/>
      <c r="M68"/>
      <c r="N68"/>
      <c r="O68"/>
      <c r="Q68"/>
      <c r="R68"/>
      <c r="S68"/>
    </row>
    <row r="69" spans="3:19">
      <c r="C69" s="48"/>
      <c r="D69" s="49"/>
      <c r="E69" s="49"/>
      <c r="F69" s="49"/>
      <c r="G69" s="49"/>
      <c r="H69" s="49"/>
      <c r="I69" s="50"/>
      <c r="J69" s="51"/>
      <c r="K69" s="51"/>
      <c r="L69" s="51"/>
      <c r="M69"/>
      <c r="N69"/>
      <c r="O69"/>
      <c r="Q69"/>
      <c r="R69"/>
      <c r="S69"/>
    </row>
    <row r="70" spans="3:19">
      <c r="C70" s="48"/>
      <c r="D70" s="49"/>
      <c r="E70" s="49"/>
      <c r="F70" s="49"/>
      <c r="G70" s="49"/>
      <c r="H70" s="49"/>
      <c r="I70" s="50"/>
      <c r="J70" s="51"/>
      <c r="K70" s="51"/>
      <c r="L70" s="51"/>
      <c r="M70"/>
      <c r="N70"/>
      <c r="O70"/>
      <c r="Q70"/>
      <c r="R70"/>
      <c r="S70"/>
    </row>
    <row r="71" spans="3:19">
      <c r="C71" s="48"/>
      <c r="D71" s="49"/>
      <c r="E71" s="49"/>
      <c r="F71" s="49"/>
      <c r="G71" s="49"/>
      <c r="H71" s="49"/>
      <c r="I71" s="50"/>
      <c r="J71" s="51"/>
      <c r="K71" s="51"/>
      <c r="L71" s="51"/>
      <c r="M71"/>
      <c r="N71"/>
      <c r="O71"/>
      <c r="Q71"/>
      <c r="R71"/>
      <c r="S71"/>
    </row>
    <row r="72" spans="3:19">
      <c r="C72" s="48"/>
      <c r="D72" s="49"/>
      <c r="E72" s="49"/>
      <c r="F72" s="49"/>
      <c r="G72" s="49"/>
      <c r="H72" s="49"/>
      <c r="I72" s="50"/>
      <c r="J72" s="51"/>
      <c r="K72" s="51"/>
      <c r="L72" s="51"/>
      <c r="M72"/>
      <c r="N72"/>
      <c r="O72"/>
      <c r="Q72"/>
      <c r="R72"/>
      <c r="S72"/>
    </row>
    <row r="73" spans="3:19">
      <c r="C73" s="48"/>
      <c r="D73" s="49"/>
      <c r="E73" s="49"/>
      <c r="F73" s="49"/>
      <c r="G73" s="49"/>
      <c r="H73" s="49"/>
      <c r="I73" s="50"/>
      <c r="J73" s="51"/>
      <c r="K73" s="51"/>
      <c r="L73" s="51"/>
      <c r="M73"/>
      <c r="N73"/>
      <c r="O73"/>
      <c r="Q73"/>
      <c r="R73"/>
      <c r="S73"/>
    </row>
    <row r="74" spans="3:19">
      <c r="C74" s="48"/>
      <c r="D74" s="49"/>
      <c r="E74" s="49"/>
      <c r="F74" s="49"/>
      <c r="G74" s="49"/>
      <c r="H74" s="49"/>
      <c r="I74" s="50"/>
      <c r="J74" s="51"/>
      <c r="K74" s="51"/>
      <c r="L74" s="51"/>
      <c r="M74"/>
      <c r="N74"/>
      <c r="O74"/>
      <c r="Q74"/>
      <c r="R74"/>
      <c r="S74"/>
    </row>
    <row r="75" spans="3:19">
      <c r="C75" s="48"/>
      <c r="D75" s="49"/>
      <c r="E75" s="49"/>
      <c r="F75" s="49"/>
      <c r="G75" s="49"/>
      <c r="H75" s="49"/>
      <c r="I75" s="50"/>
      <c r="J75" s="51"/>
      <c r="K75" s="51"/>
      <c r="L75" s="51"/>
      <c r="M75"/>
      <c r="N75"/>
      <c r="O75"/>
      <c r="Q75"/>
      <c r="R75"/>
      <c r="S75"/>
    </row>
    <row r="76" spans="3:19">
      <c r="C76" s="48"/>
      <c r="D76" s="49"/>
      <c r="E76" s="49"/>
      <c r="F76" s="49"/>
      <c r="G76" s="49"/>
      <c r="H76" s="49"/>
      <c r="I76" s="50"/>
      <c r="J76" s="51"/>
      <c r="K76" s="51"/>
      <c r="L76" s="51"/>
      <c r="M76"/>
      <c r="N76"/>
      <c r="O76"/>
      <c r="Q76"/>
      <c r="R76"/>
      <c r="S76"/>
    </row>
    <row r="77" spans="3:19">
      <c r="C77" s="48"/>
      <c r="D77" s="49"/>
      <c r="E77" s="49"/>
      <c r="F77" s="49"/>
      <c r="G77" s="49"/>
      <c r="H77" s="49"/>
      <c r="I77" s="50"/>
      <c r="J77" s="51"/>
      <c r="K77" s="51"/>
      <c r="L77" s="51"/>
      <c r="M77"/>
      <c r="N77"/>
      <c r="O77"/>
      <c r="Q77"/>
      <c r="R77"/>
      <c r="S77"/>
    </row>
    <row r="78" spans="3:19">
      <c r="C78" s="48"/>
      <c r="D78" s="49"/>
      <c r="E78" s="49"/>
      <c r="F78" s="49"/>
      <c r="G78" s="49"/>
      <c r="H78" s="49"/>
      <c r="I78" s="50"/>
      <c r="J78" s="51"/>
      <c r="K78" s="51"/>
      <c r="L78" s="51"/>
      <c r="M78"/>
      <c r="N78"/>
      <c r="O78"/>
      <c r="Q78"/>
      <c r="R78"/>
      <c r="S78"/>
    </row>
    <row r="79" spans="3:19">
      <c r="C79" s="48"/>
      <c r="D79" s="49"/>
      <c r="E79" s="49"/>
      <c r="F79" s="49"/>
      <c r="G79" s="49"/>
      <c r="H79" s="49"/>
      <c r="I79" s="50"/>
      <c r="J79" s="51"/>
      <c r="K79" s="51"/>
      <c r="L79" s="51"/>
      <c r="M79"/>
      <c r="N79"/>
      <c r="O79"/>
      <c r="Q79"/>
      <c r="R79"/>
      <c r="S79"/>
    </row>
    <row r="80" spans="3:19">
      <c r="C80" s="48"/>
      <c r="D80" s="49"/>
      <c r="E80" s="49"/>
      <c r="F80" s="49"/>
      <c r="G80" s="49"/>
      <c r="H80" s="49"/>
      <c r="I80" s="50"/>
      <c r="J80" s="51"/>
      <c r="K80" s="51"/>
      <c r="L80" s="51"/>
      <c r="M80"/>
      <c r="N80"/>
      <c r="O80"/>
      <c r="Q80"/>
      <c r="R80"/>
      <c r="S80"/>
    </row>
    <row r="81" spans="3:19">
      <c r="C81" s="48"/>
      <c r="D81" s="49"/>
      <c r="E81" s="49"/>
      <c r="F81" s="49"/>
      <c r="G81" s="49"/>
      <c r="H81" s="49"/>
      <c r="I81" s="50"/>
      <c r="J81" s="51"/>
      <c r="K81" s="51"/>
      <c r="L81" s="51"/>
      <c r="M81"/>
      <c r="N81"/>
      <c r="O81"/>
      <c r="Q81"/>
      <c r="R81"/>
      <c r="S81"/>
    </row>
    <row r="82" spans="3:19">
      <c r="C82" s="48"/>
      <c r="D82" s="49"/>
      <c r="E82" s="49"/>
      <c r="F82" s="49"/>
      <c r="G82" s="49"/>
      <c r="H82" s="49"/>
      <c r="I82" s="50"/>
      <c r="J82" s="51"/>
      <c r="K82" s="51"/>
      <c r="L82" s="51"/>
      <c r="M82"/>
      <c r="N82"/>
      <c r="O82"/>
      <c r="Q82"/>
      <c r="R82"/>
      <c r="S82"/>
    </row>
    <row r="83" spans="3:19">
      <c r="C83" s="48"/>
      <c r="D83" s="49"/>
      <c r="E83" s="49"/>
      <c r="F83" s="49"/>
      <c r="G83" s="49"/>
      <c r="H83" s="49"/>
      <c r="I83" s="50"/>
      <c r="J83" s="51"/>
      <c r="K83" s="51"/>
      <c r="L83" s="51"/>
      <c r="M83"/>
      <c r="N83"/>
      <c r="O83"/>
      <c r="Q83"/>
      <c r="R83"/>
      <c r="S83"/>
    </row>
    <row r="84" spans="3:19">
      <c r="C84" s="48"/>
      <c r="D84" s="49"/>
      <c r="E84" s="49"/>
      <c r="F84" s="49"/>
      <c r="G84" s="49"/>
      <c r="H84" s="49"/>
      <c r="I84" s="50"/>
      <c r="J84" s="51"/>
      <c r="K84" s="51"/>
      <c r="L84" s="51"/>
      <c r="M84"/>
      <c r="N84"/>
      <c r="O84"/>
      <c r="Q84"/>
      <c r="R84"/>
      <c r="S84"/>
    </row>
    <row r="85" spans="3:19">
      <c r="C85" s="48"/>
      <c r="D85" s="49"/>
      <c r="E85" s="49"/>
      <c r="F85" s="49"/>
      <c r="G85" s="49"/>
      <c r="H85" s="49"/>
      <c r="I85" s="50"/>
      <c r="J85" s="51"/>
      <c r="K85" s="51"/>
      <c r="L85" s="51"/>
      <c r="M85"/>
      <c r="N85"/>
      <c r="O85"/>
      <c r="Q85"/>
      <c r="R85"/>
      <c r="S85"/>
    </row>
    <row r="86" spans="3:19">
      <c r="C86" s="48"/>
      <c r="D86" s="49"/>
      <c r="E86" s="49"/>
      <c r="F86" s="49"/>
      <c r="G86" s="49"/>
      <c r="H86" s="49"/>
      <c r="I86" s="50"/>
      <c r="J86" s="51"/>
      <c r="K86" s="51"/>
      <c r="L86" s="51"/>
      <c r="M86"/>
      <c r="N86"/>
      <c r="O86"/>
      <c r="Q86"/>
      <c r="R86"/>
      <c r="S86"/>
    </row>
    <row r="87" spans="3:19">
      <c r="C87" s="48"/>
      <c r="D87" s="49"/>
      <c r="E87" s="49"/>
      <c r="F87" s="49"/>
      <c r="G87" s="49"/>
      <c r="H87" s="49"/>
      <c r="I87" s="50"/>
      <c r="J87" s="51"/>
      <c r="K87" s="51"/>
      <c r="L87" s="51"/>
      <c r="M87"/>
      <c r="N87"/>
      <c r="O87"/>
      <c r="Q87"/>
      <c r="R87"/>
      <c r="S87"/>
    </row>
    <row r="88" spans="3:19">
      <c r="C88" s="48"/>
      <c r="D88" s="49"/>
      <c r="E88" s="49"/>
      <c r="F88" s="49"/>
      <c r="G88" s="49"/>
      <c r="H88" s="49"/>
      <c r="I88" s="50"/>
      <c r="J88" s="51"/>
      <c r="K88" s="51"/>
      <c r="L88" s="51"/>
      <c r="M88"/>
      <c r="N88"/>
      <c r="O88"/>
      <c r="Q88"/>
      <c r="R88"/>
      <c r="S88"/>
    </row>
    <row r="89" spans="3:19">
      <c r="C89" s="48"/>
      <c r="D89" s="49"/>
      <c r="E89" s="49"/>
      <c r="F89" s="49"/>
      <c r="G89" s="49"/>
      <c r="H89" s="49"/>
      <c r="I89" s="50"/>
      <c r="J89" s="51"/>
      <c r="K89" s="51"/>
      <c r="L89" s="51"/>
      <c r="M89"/>
      <c r="N89"/>
      <c r="O89"/>
      <c r="Q89"/>
      <c r="R89"/>
      <c r="S89"/>
    </row>
    <row r="90" spans="3:19">
      <c r="C90" s="48"/>
      <c r="D90" s="49"/>
      <c r="E90" s="49"/>
      <c r="F90" s="49"/>
      <c r="G90" s="49"/>
      <c r="H90" s="49"/>
      <c r="I90" s="50"/>
      <c r="J90" s="51"/>
      <c r="K90" s="51"/>
      <c r="L90" s="51"/>
      <c r="M90"/>
      <c r="N90"/>
      <c r="O90"/>
      <c r="Q90"/>
      <c r="R90"/>
      <c r="S90"/>
    </row>
    <row r="91" spans="3:19">
      <c r="C91" s="48"/>
      <c r="D91" s="49"/>
      <c r="E91" s="49"/>
      <c r="F91" s="49"/>
      <c r="G91" s="49"/>
      <c r="H91" s="49"/>
      <c r="I91" s="50"/>
      <c r="J91" s="51"/>
      <c r="K91" s="51"/>
      <c r="L91" s="51"/>
      <c r="M91"/>
      <c r="N91"/>
      <c r="O91"/>
      <c r="Q91"/>
      <c r="R91"/>
      <c r="S91"/>
    </row>
    <row r="92" spans="3:19">
      <c r="C92" s="48"/>
      <c r="D92" s="49"/>
      <c r="E92" s="49"/>
      <c r="F92" s="49"/>
      <c r="G92" s="49"/>
      <c r="H92" s="49"/>
      <c r="I92" s="50"/>
      <c r="J92" s="51"/>
      <c r="K92" s="51"/>
      <c r="L92" s="51"/>
      <c r="M92"/>
      <c r="N92"/>
      <c r="O92"/>
      <c r="Q92"/>
      <c r="R92"/>
      <c r="S92"/>
    </row>
    <row r="93" spans="3:19">
      <c r="C93" s="48"/>
      <c r="D93" s="49"/>
      <c r="E93" s="49"/>
      <c r="F93" s="49"/>
      <c r="G93" s="49"/>
      <c r="H93" s="49"/>
      <c r="I93" s="50"/>
      <c r="J93" s="51"/>
      <c r="K93" s="51"/>
      <c r="L93" s="51"/>
      <c r="M93"/>
      <c r="N93"/>
      <c r="O93"/>
      <c r="Q93"/>
      <c r="R93"/>
      <c r="S93"/>
    </row>
    <row r="94" spans="3:19">
      <c r="C94" s="48"/>
      <c r="D94" s="49"/>
      <c r="E94" s="49"/>
      <c r="F94" s="49"/>
      <c r="G94" s="49"/>
      <c r="H94" s="49"/>
      <c r="I94" s="50"/>
      <c r="J94" s="51"/>
      <c r="K94" s="51"/>
      <c r="L94" s="51"/>
      <c r="M94"/>
      <c r="N94"/>
      <c r="O94"/>
      <c r="Q94"/>
      <c r="R94"/>
      <c r="S94"/>
    </row>
    <row r="95" spans="3:19">
      <c r="C95" s="48"/>
      <c r="D95" s="49"/>
      <c r="E95" s="49"/>
      <c r="F95" s="49"/>
      <c r="G95" s="49"/>
      <c r="H95" s="49"/>
      <c r="I95" s="50"/>
      <c r="J95" s="51"/>
      <c r="K95" s="51"/>
      <c r="L95" s="51"/>
      <c r="M95"/>
      <c r="N95"/>
      <c r="O95"/>
      <c r="Q95"/>
      <c r="R95"/>
      <c r="S95"/>
    </row>
    <row r="96" spans="3:19">
      <c r="C96" s="48"/>
      <c r="D96" s="49"/>
      <c r="E96" s="49"/>
      <c r="F96" s="49"/>
      <c r="G96" s="49"/>
      <c r="H96" s="49"/>
      <c r="I96" s="50"/>
      <c r="J96" s="51"/>
      <c r="K96" s="51"/>
      <c r="L96" s="51"/>
      <c r="M96"/>
      <c r="N96"/>
      <c r="O96"/>
      <c r="Q96"/>
      <c r="R96"/>
      <c r="S96"/>
    </row>
    <row r="97" spans="3:19">
      <c r="C97" s="48"/>
      <c r="D97" s="49"/>
      <c r="E97" s="49"/>
      <c r="F97" s="49"/>
      <c r="G97" s="49"/>
      <c r="H97" s="49"/>
      <c r="I97" s="50"/>
      <c r="J97" s="51"/>
      <c r="K97" s="51"/>
      <c r="L97" s="51"/>
      <c r="M97"/>
      <c r="N97"/>
      <c r="O97"/>
      <c r="Q97"/>
      <c r="R97"/>
      <c r="S97"/>
    </row>
    <row r="98" spans="3:19">
      <c r="C98" s="48"/>
      <c r="D98" s="49"/>
      <c r="E98" s="49"/>
      <c r="F98" s="49"/>
      <c r="G98" s="49"/>
      <c r="H98" s="49"/>
      <c r="I98" s="50"/>
      <c r="J98" s="51"/>
      <c r="K98" s="51"/>
      <c r="L98" s="51"/>
      <c r="M98"/>
      <c r="N98"/>
      <c r="O98"/>
      <c r="Q98"/>
      <c r="R98"/>
      <c r="S98"/>
    </row>
    <row r="99" spans="3:19">
      <c r="C99" s="48"/>
      <c r="D99" s="49"/>
      <c r="E99" s="49"/>
      <c r="F99" s="49"/>
      <c r="G99" s="49"/>
      <c r="H99" s="49"/>
      <c r="I99" s="50"/>
      <c r="J99" s="51"/>
      <c r="K99" s="51"/>
      <c r="L99" s="51"/>
      <c r="M99"/>
      <c r="N99"/>
      <c r="O99"/>
      <c r="Q99"/>
      <c r="R99"/>
      <c r="S99"/>
    </row>
    <row r="100" spans="3:19">
      <c r="C100" s="48"/>
      <c r="D100" s="49"/>
      <c r="E100" s="49"/>
      <c r="F100" s="49"/>
      <c r="G100" s="49"/>
      <c r="H100" s="49"/>
      <c r="I100" s="50"/>
      <c r="J100" s="51"/>
      <c r="K100" s="51"/>
      <c r="L100" s="51"/>
      <c r="M100"/>
      <c r="N100"/>
      <c r="O100"/>
      <c r="Q100"/>
      <c r="R100"/>
      <c r="S100"/>
    </row>
    <row r="101" spans="3:19">
      <c r="C101" s="48"/>
      <c r="D101" s="49"/>
      <c r="E101" s="49"/>
      <c r="F101" s="49"/>
      <c r="G101" s="49"/>
      <c r="H101" s="49"/>
      <c r="I101" s="50"/>
      <c r="J101" s="51"/>
      <c r="K101" s="51"/>
      <c r="L101" s="51"/>
      <c r="M101"/>
      <c r="N101"/>
      <c r="O101"/>
      <c r="Q101"/>
      <c r="R101"/>
      <c r="S101"/>
    </row>
    <row r="102" spans="3:19">
      <c r="C102" s="48"/>
      <c r="D102" s="49"/>
      <c r="E102" s="49"/>
      <c r="F102" s="49"/>
      <c r="G102" s="49"/>
      <c r="H102" s="49"/>
      <c r="I102" s="50"/>
      <c r="J102" s="51"/>
      <c r="K102" s="51"/>
      <c r="L102" s="51"/>
      <c r="M102"/>
      <c r="N102"/>
      <c r="O102"/>
      <c r="Q102"/>
      <c r="R102"/>
      <c r="S102"/>
    </row>
    <row r="103" spans="3:19">
      <c r="C103" s="48"/>
      <c r="D103" s="49"/>
      <c r="E103" s="49"/>
      <c r="F103" s="49"/>
      <c r="G103" s="49"/>
      <c r="H103" s="49"/>
      <c r="I103" s="50"/>
      <c r="J103" s="51"/>
      <c r="K103" s="51"/>
      <c r="L103" s="51"/>
      <c r="M103"/>
      <c r="N103"/>
      <c r="O103"/>
      <c r="Q103"/>
      <c r="R103"/>
      <c r="S103"/>
    </row>
    <row r="104" spans="3:19">
      <c r="C104" s="48"/>
      <c r="D104" s="49"/>
      <c r="E104" s="49"/>
      <c r="F104" s="49"/>
      <c r="G104" s="49"/>
      <c r="H104" s="49"/>
      <c r="I104" s="50"/>
      <c r="J104" s="51"/>
      <c r="K104" s="51"/>
      <c r="L104" s="51"/>
      <c r="M104"/>
      <c r="N104"/>
      <c r="O104"/>
      <c r="Q104"/>
      <c r="R104"/>
      <c r="S104"/>
    </row>
    <row r="105" spans="3:19">
      <c r="C105" s="48"/>
      <c r="D105" s="49"/>
      <c r="E105" s="49"/>
      <c r="F105" s="49"/>
      <c r="G105" s="49"/>
      <c r="H105" s="49"/>
      <c r="I105" s="50"/>
      <c r="J105" s="51"/>
      <c r="K105" s="51"/>
      <c r="L105" s="51"/>
      <c r="M105"/>
      <c r="N105"/>
      <c r="O105"/>
      <c r="Q105"/>
      <c r="R105"/>
      <c r="S105"/>
    </row>
    <row r="106" spans="3:19">
      <c r="C106" s="48"/>
      <c r="D106" s="49"/>
      <c r="E106" s="49"/>
      <c r="F106" s="49"/>
      <c r="G106" s="49"/>
      <c r="H106" s="49"/>
      <c r="I106" s="50"/>
      <c r="J106" s="51"/>
      <c r="K106" s="51"/>
      <c r="L106" s="51"/>
      <c r="M106"/>
      <c r="N106"/>
      <c r="O106"/>
      <c r="Q106"/>
      <c r="R106"/>
      <c r="S106"/>
    </row>
    <row r="107" spans="3:19">
      <c r="C107" s="48"/>
      <c r="D107" s="49"/>
      <c r="E107" s="49"/>
      <c r="F107" s="49"/>
      <c r="G107" s="49"/>
      <c r="H107" s="49"/>
      <c r="I107" s="50"/>
      <c r="J107" s="51"/>
      <c r="K107" s="51"/>
      <c r="L107" s="51"/>
      <c r="M107"/>
      <c r="N107"/>
      <c r="O107"/>
      <c r="Q107"/>
      <c r="R107"/>
      <c r="S107"/>
    </row>
    <row r="108" spans="3:19">
      <c r="C108" s="48"/>
      <c r="D108" s="49"/>
      <c r="E108" s="49"/>
      <c r="F108" s="49"/>
      <c r="G108" s="49"/>
      <c r="H108" s="49"/>
      <c r="I108" s="50"/>
      <c r="J108" s="51"/>
      <c r="K108" s="51"/>
      <c r="L108" s="51"/>
      <c r="M108"/>
      <c r="N108"/>
      <c r="O108"/>
      <c r="Q108"/>
      <c r="R108"/>
      <c r="S108"/>
    </row>
    <row r="109" spans="3:19">
      <c r="C109" s="48"/>
      <c r="D109" s="49"/>
      <c r="E109" s="49"/>
      <c r="F109" s="49"/>
      <c r="G109" s="49"/>
      <c r="H109" s="49"/>
      <c r="I109" s="50"/>
      <c r="J109" s="51"/>
      <c r="K109" s="51"/>
      <c r="L109" s="51"/>
      <c r="M109"/>
      <c r="N109"/>
      <c r="O109"/>
      <c r="Q109"/>
      <c r="R109"/>
      <c r="S109"/>
    </row>
    <row r="110" spans="3:19">
      <c r="C110" s="48"/>
      <c r="D110" s="49"/>
      <c r="E110" s="49"/>
      <c r="F110" s="49"/>
      <c r="G110" s="49"/>
      <c r="H110" s="49"/>
      <c r="I110" s="50"/>
      <c r="J110" s="51"/>
      <c r="K110" s="51"/>
      <c r="L110" s="51"/>
      <c r="M110"/>
      <c r="N110"/>
      <c r="O110"/>
      <c r="Q110"/>
      <c r="R110"/>
      <c r="S110"/>
    </row>
    <row r="111" spans="3:19">
      <c r="C111" s="48"/>
      <c r="D111" s="49"/>
      <c r="E111" s="49"/>
      <c r="F111" s="49"/>
      <c r="G111" s="49"/>
      <c r="H111" s="49"/>
      <c r="I111" s="50"/>
      <c r="J111" s="51"/>
      <c r="K111" s="51"/>
      <c r="L111" s="51"/>
      <c r="M111"/>
      <c r="N111"/>
      <c r="O111"/>
      <c r="Q111"/>
      <c r="R111"/>
      <c r="S111"/>
    </row>
    <row r="112" spans="3:19">
      <c r="C112" s="48"/>
      <c r="D112" s="49"/>
      <c r="E112" s="49"/>
      <c r="F112" s="49"/>
      <c r="G112" s="49"/>
      <c r="H112" s="49"/>
      <c r="I112" s="50"/>
      <c r="J112" s="51"/>
      <c r="K112" s="51"/>
      <c r="L112" s="51"/>
      <c r="M112"/>
      <c r="N112"/>
      <c r="O112"/>
      <c r="Q112"/>
      <c r="R112"/>
      <c r="S112"/>
    </row>
    <row r="113" spans="3:19">
      <c r="C113" s="48"/>
      <c r="D113" s="49"/>
      <c r="E113" s="49"/>
      <c r="F113" s="49"/>
      <c r="G113" s="49"/>
      <c r="H113" s="49"/>
      <c r="I113" s="50"/>
      <c r="J113" s="51"/>
      <c r="K113" s="51"/>
      <c r="L113" s="51"/>
      <c r="M113"/>
      <c r="N113"/>
      <c r="O113"/>
      <c r="Q113"/>
      <c r="R113"/>
      <c r="S113"/>
    </row>
    <row r="114" spans="3:19">
      <c r="C114" s="48"/>
      <c r="D114" s="49"/>
      <c r="E114" s="49"/>
      <c r="F114" s="49"/>
      <c r="G114" s="49"/>
      <c r="H114" s="49"/>
      <c r="I114" s="50"/>
      <c r="J114" s="51"/>
      <c r="K114" s="51"/>
      <c r="L114" s="51"/>
      <c r="M114"/>
      <c r="N114"/>
      <c r="O114"/>
      <c r="Q114"/>
      <c r="R114"/>
      <c r="S114"/>
    </row>
    <row r="115" spans="3:19">
      <c r="C115" s="48"/>
      <c r="D115" s="49"/>
      <c r="E115" s="49"/>
      <c r="F115" s="49"/>
      <c r="G115" s="49"/>
      <c r="H115" s="49"/>
      <c r="I115" s="50"/>
      <c r="J115" s="51"/>
      <c r="K115" s="51"/>
      <c r="L115" s="51"/>
      <c r="M115"/>
      <c r="N115"/>
      <c r="O115"/>
      <c r="Q115"/>
      <c r="R115"/>
      <c r="S115"/>
    </row>
    <row r="116" spans="3:19">
      <c r="C116" s="48"/>
      <c r="D116" s="49"/>
      <c r="E116" s="49"/>
      <c r="F116" s="49"/>
      <c r="G116" s="49"/>
      <c r="H116" s="49"/>
      <c r="I116" s="50"/>
      <c r="J116" s="51"/>
      <c r="K116" s="51"/>
      <c r="L116" s="51"/>
      <c r="M116"/>
      <c r="N116"/>
      <c r="O116"/>
      <c r="Q116"/>
      <c r="R116"/>
      <c r="S116"/>
    </row>
    <row r="130" spans="3:19">
      <c r="C130"/>
      <c r="I130"/>
      <c r="J130"/>
      <c r="K130"/>
      <c r="L130"/>
      <c r="M130"/>
      <c r="N130"/>
      <c r="O130"/>
      <c r="Q130"/>
      <c r="R130"/>
      <c r="S130"/>
    </row>
    <row r="131" spans="3:19">
      <c r="C131"/>
      <c r="I131"/>
      <c r="J131"/>
      <c r="K131"/>
      <c r="L131"/>
      <c r="M131"/>
      <c r="N131"/>
      <c r="O131"/>
      <c r="Q131"/>
      <c r="R131"/>
      <c r="S131"/>
    </row>
    <row r="132" spans="3:19">
      <c r="C132"/>
      <c r="I132"/>
      <c r="J132"/>
      <c r="K132"/>
      <c r="L132"/>
      <c r="M132"/>
      <c r="N132"/>
      <c r="O132"/>
      <c r="Q132"/>
      <c r="R132"/>
      <c r="S132"/>
    </row>
    <row r="133" spans="3:19">
      <c r="C133"/>
      <c r="I133"/>
      <c r="J133"/>
      <c r="K133"/>
      <c r="L133"/>
      <c r="M133"/>
      <c r="N133"/>
      <c r="O133"/>
      <c r="Q133"/>
      <c r="R133"/>
      <c r="S133"/>
    </row>
    <row r="134" spans="3:19">
      <c r="C134"/>
      <c r="I134"/>
      <c r="J134"/>
      <c r="K134"/>
      <c r="L134"/>
      <c r="M134"/>
      <c r="N134"/>
      <c r="O134"/>
      <c r="Q134"/>
      <c r="R134"/>
      <c r="S134"/>
    </row>
    <row r="135" spans="3:19">
      <c r="C135"/>
      <c r="I135"/>
      <c r="J135"/>
      <c r="K135"/>
      <c r="L135"/>
      <c r="M135"/>
      <c r="N135"/>
      <c r="O135"/>
      <c r="Q135"/>
      <c r="R135"/>
      <c r="S135"/>
    </row>
  </sheetData>
  <sheetProtection password="EFEB" sheet="1" objects="1" scenarios="1"/>
  <mergeCells count="6">
    <mergeCell ref="D37:K37"/>
    <mergeCell ref="B1:S1"/>
    <mergeCell ref="M2:O2"/>
    <mergeCell ref="Q2:S2"/>
    <mergeCell ref="J3:L3"/>
    <mergeCell ref="D35:K3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B1:AK132"/>
  <sheetViews>
    <sheetView topLeftCell="H19" workbookViewId="0">
      <selection activeCell="R26" sqref="R26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38.85546875" customWidth="1"/>
    <col min="9" max="9" width="25.5703125" style="2" customWidth="1"/>
    <col min="10" max="12" width="9.140625" style="3"/>
    <col min="13" max="13" width="16.42578125" style="4" customWidth="1"/>
    <col min="14" max="14" width="14.42578125" style="4" customWidth="1"/>
    <col min="15" max="15" width="13" style="4" customWidth="1"/>
    <col min="16" max="16" width="13.5703125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42578125" customWidth="1"/>
    <col min="255" max="255" width="16.425781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4" width="16.42578125" customWidth="1"/>
    <col min="265" max="265" width="13" customWidth="1"/>
    <col min="266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42578125" customWidth="1"/>
    <col min="511" max="511" width="16.425781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0" width="16.42578125" customWidth="1"/>
    <col min="521" max="521" width="13" customWidth="1"/>
    <col min="522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42578125" customWidth="1"/>
    <col min="767" max="767" width="16.425781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6" width="16.42578125" customWidth="1"/>
    <col min="777" max="777" width="13" customWidth="1"/>
    <col min="778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42578125" customWidth="1"/>
    <col min="1023" max="1023" width="16.425781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2" width="16.42578125" customWidth="1"/>
    <col min="1033" max="1033" width="13" customWidth="1"/>
    <col min="1034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42578125" customWidth="1"/>
    <col min="1279" max="1279" width="16.425781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8" width="16.42578125" customWidth="1"/>
    <col min="1289" max="1289" width="13" customWidth="1"/>
    <col min="1290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42578125" customWidth="1"/>
    <col min="1535" max="1535" width="16.425781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4" width="16.42578125" customWidth="1"/>
    <col min="1545" max="1545" width="13" customWidth="1"/>
    <col min="1546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42578125" customWidth="1"/>
    <col min="1791" max="1791" width="16.425781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0" width="16.42578125" customWidth="1"/>
    <col min="1801" max="1801" width="13" customWidth="1"/>
    <col min="1802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42578125" customWidth="1"/>
    <col min="2047" max="2047" width="16.425781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6" width="16.42578125" customWidth="1"/>
    <col min="2057" max="2057" width="13" customWidth="1"/>
    <col min="2058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42578125" customWidth="1"/>
    <col min="2303" max="2303" width="16.425781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2" width="16.42578125" customWidth="1"/>
    <col min="2313" max="2313" width="13" customWidth="1"/>
    <col min="2314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42578125" customWidth="1"/>
    <col min="2559" max="2559" width="16.425781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8" width="16.42578125" customWidth="1"/>
    <col min="2569" max="2569" width="13" customWidth="1"/>
    <col min="2570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42578125" customWidth="1"/>
    <col min="2815" max="2815" width="16.425781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4" width="16.42578125" customWidth="1"/>
    <col min="2825" max="2825" width="13" customWidth="1"/>
    <col min="2826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42578125" customWidth="1"/>
    <col min="3071" max="3071" width="16.425781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0" width="16.42578125" customWidth="1"/>
    <col min="3081" max="3081" width="13" customWidth="1"/>
    <col min="3082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42578125" customWidth="1"/>
    <col min="3327" max="3327" width="16.425781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6" width="16.42578125" customWidth="1"/>
    <col min="3337" max="3337" width="13" customWidth="1"/>
    <col min="3338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42578125" customWidth="1"/>
    <col min="3583" max="3583" width="16.425781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2" width="16.42578125" customWidth="1"/>
    <col min="3593" max="3593" width="13" customWidth="1"/>
    <col min="3594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42578125" customWidth="1"/>
    <col min="3839" max="3839" width="16.425781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8" width="16.42578125" customWidth="1"/>
    <col min="3849" max="3849" width="13" customWidth="1"/>
    <col min="3850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42578125" customWidth="1"/>
    <col min="4095" max="4095" width="16.425781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4" width="16.42578125" customWidth="1"/>
    <col min="4105" max="4105" width="13" customWidth="1"/>
    <col min="4106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42578125" customWidth="1"/>
    <col min="4351" max="4351" width="16.425781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0" width="16.42578125" customWidth="1"/>
    <col min="4361" max="4361" width="13" customWidth="1"/>
    <col min="4362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42578125" customWidth="1"/>
    <col min="4607" max="4607" width="16.425781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6" width="16.42578125" customWidth="1"/>
    <col min="4617" max="4617" width="13" customWidth="1"/>
    <col min="4618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42578125" customWidth="1"/>
    <col min="4863" max="4863" width="16.425781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2" width="16.42578125" customWidth="1"/>
    <col min="4873" max="4873" width="13" customWidth="1"/>
    <col min="4874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42578125" customWidth="1"/>
    <col min="5119" max="5119" width="16.425781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8" width="16.42578125" customWidth="1"/>
    <col min="5129" max="5129" width="13" customWidth="1"/>
    <col min="5130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42578125" customWidth="1"/>
    <col min="5375" max="5375" width="16.425781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4" width="16.42578125" customWidth="1"/>
    <col min="5385" max="5385" width="13" customWidth="1"/>
    <col min="5386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42578125" customWidth="1"/>
    <col min="5631" max="5631" width="16.425781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0" width="16.42578125" customWidth="1"/>
    <col min="5641" max="5641" width="13" customWidth="1"/>
    <col min="5642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42578125" customWidth="1"/>
    <col min="5887" max="5887" width="16.425781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6" width="16.42578125" customWidth="1"/>
    <col min="5897" max="5897" width="13" customWidth="1"/>
    <col min="5898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42578125" customWidth="1"/>
    <col min="6143" max="6143" width="16.425781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2" width="16.42578125" customWidth="1"/>
    <col min="6153" max="6153" width="13" customWidth="1"/>
    <col min="6154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42578125" customWidth="1"/>
    <col min="6399" max="6399" width="16.425781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8" width="16.42578125" customWidth="1"/>
    <col min="6409" max="6409" width="13" customWidth="1"/>
    <col min="6410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42578125" customWidth="1"/>
    <col min="6655" max="6655" width="16.425781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4" width="16.42578125" customWidth="1"/>
    <col min="6665" max="6665" width="13" customWidth="1"/>
    <col min="6666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42578125" customWidth="1"/>
    <col min="6911" max="6911" width="16.425781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0" width="16.42578125" customWidth="1"/>
    <col min="6921" max="6921" width="13" customWidth="1"/>
    <col min="6922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42578125" customWidth="1"/>
    <col min="7167" max="7167" width="16.425781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6" width="16.42578125" customWidth="1"/>
    <col min="7177" max="7177" width="13" customWidth="1"/>
    <col min="7178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42578125" customWidth="1"/>
    <col min="7423" max="7423" width="16.425781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2" width="16.42578125" customWidth="1"/>
    <col min="7433" max="7433" width="13" customWidth="1"/>
    <col min="7434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42578125" customWidth="1"/>
    <col min="7679" max="7679" width="16.425781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8" width="16.42578125" customWidth="1"/>
    <col min="7689" max="7689" width="13" customWidth="1"/>
    <col min="7690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42578125" customWidth="1"/>
    <col min="7935" max="7935" width="16.425781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4" width="16.42578125" customWidth="1"/>
    <col min="7945" max="7945" width="13" customWidth="1"/>
    <col min="7946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42578125" customWidth="1"/>
    <col min="8191" max="8191" width="16.425781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0" width="16.42578125" customWidth="1"/>
    <col min="8201" max="8201" width="13" customWidth="1"/>
    <col min="8202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42578125" customWidth="1"/>
    <col min="8447" max="8447" width="16.425781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6" width="16.42578125" customWidth="1"/>
    <col min="8457" max="8457" width="13" customWidth="1"/>
    <col min="8458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42578125" customWidth="1"/>
    <col min="8703" max="8703" width="16.425781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2" width="16.42578125" customWidth="1"/>
    <col min="8713" max="8713" width="13" customWidth="1"/>
    <col min="8714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42578125" customWidth="1"/>
    <col min="8959" max="8959" width="16.425781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8" width="16.42578125" customWidth="1"/>
    <col min="8969" max="8969" width="13" customWidth="1"/>
    <col min="8970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42578125" customWidth="1"/>
    <col min="9215" max="9215" width="16.425781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4" width="16.42578125" customWidth="1"/>
    <col min="9225" max="9225" width="13" customWidth="1"/>
    <col min="9226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42578125" customWidth="1"/>
    <col min="9471" max="9471" width="16.425781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0" width="16.42578125" customWidth="1"/>
    <col min="9481" max="9481" width="13" customWidth="1"/>
    <col min="9482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42578125" customWidth="1"/>
    <col min="9727" max="9727" width="16.425781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6" width="16.42578125" customWidth="1"/>
    <col min="9737" max="9737" width="13" customWidth="1"/>
    <col min="9738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42578125" customWidth="1"/>
    <col min="9983" max="9983" width="16.425781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2" width="16.42578125" customWidth="1"/>
    <col min="9993" max="9993" width="13" customWidth="1"/>
    <col min="9994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42578125" customWidth="1"/>
    <col min="10239" max="10239" width="16.425781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8" width="16.42578125" customWidth="1"/>
    <col min="10249" max="10249" width="13" customWidth="1"/>
    <col min="10250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42578125" customWidth="1"/>
    <col min="10495" max="10495" width="16.425781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4" width="16.42578125" customWidth="1"/>
    <col min="10505" max="10505" width="13" customWidth="1"/>
    <col min="10506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42578125" customWidth="1"/>
    <col min="10751" max="10751" width="16.425781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0" width="16.42578125" customWidth="1"/>
    <col min="10761" max="10761" width="13" customWidth="1"/>
    <col min="10762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42578125" customWidth="1"/>
    <col min="11007" max="11007" width="16.425781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6" width="16.42578125" customWidth="1"/>
    <col min="11017" max="11017" width="13" customWidth="1"/>
    <col min="11018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42578125" customWidth="1"/>
    <col min="11263" max="11263" width="16.425781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2" width="16.42578125" customWidth="1"/>
    <col min="11273" max="11273" width="13" customWidth="1"/>
    <col min="11274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42578125" customWidth="1"/>
    <col min="11519" max="11519" width="16.425781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8" width="16.42578125" customWidth="1"/>
    <col min="11529" max="11529" width="13" customWidth="1"/>
    <col min="11530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42578125" customWidth="1"/>
    <col min="11775" max="11775" width="16.425781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4" width="16.42578125" customWidth="1"/>
    <col min="11785" max="11785" width="13" customWidth="1"/>
    <col min="11786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42578125" customWidth="1"/>
    <col min="12031" max="12031" width="16.425781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0" width="16.42578125" customWidth="1"/>
    <col min="12041" max="12041" width="13" customWidth="1"/>
    <col min="12042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42578125" customWidth="1"/>
    <col min="12287" max="12287" width="16.425781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6" width="16.42578125" customWidth="1"/>
    <col min="12297" max="12297" width="13" customWidth="1"/>
    <col min="12298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42578125" customWidth="1"/>
    <col min="12543" max="12543" width="16.425781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2" width="16.42578125" customWidth="1"/>
    <col min="12553" max="12553" width="13" customWidth="1"/>
    <col min="12554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42578125" customWidth="1"/>
    <col min="12799" max="12799" width="16.425781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8" width="16.42578125" customWidth="1"/>
    <col min="12809" max="12809" width="13" customWidth="1"/>
    <col min="12810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42578125" customWidth="1"/>
    <col min="13055" max="13055" width="16.425781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4" width="16.42578125" customWidth="1"/>
    <col min="13065" max="13065" width="13" customWidth="1"/>
    <col min="13066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42578125" customWidth="1"/>
    <col min="13311" max="13311" width="16.425781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0" width="16.42578125" customWidth="1"/>
    <col min="13321" max="13321" width="13" customWidth="1"/>
    <col min="13322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42578125" customWidth="1"/>
    <col min="13567" max="13567" width="16.425781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6" width="16.42578125" customWidth="1"/>
    <col min="13577" max="13577" width="13" customWidth="1"/>
    <col min="13578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42578125" customWidth="1"/>
    <col min="13823" max="13823" width="16.425781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2" width="16.42578125" customWidth="1"/>
    <col min="13833" max="13833" width="13" customWidth="1"/>
    <col min="13834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42578125" customWidth="1"/>
    <col min="14079" max="14079" width="16.425781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8" width="16.42578125" customWidth="1"/>
    <col min="14089" max="14089" width="13" customWidth="1"/>
    <col min="14090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42578125" customWidth="1"/>
    <col min="14335" max="14335" width="16.425781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4" width="16.42578125" customWidth="1"/>
    <col min="14345" max="14345" width="13" customWidth="1"/>
    <col min="14346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42578125" customWidth="1"/>
    <col min="14591" max="14591" width="16.425781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0" width="16.42578125" customWidth="1"/>
    <col min="14601" max="14601" width="13" customWidth="1"/>
    <col min="14602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42578125" customWidth="1"/>
    <col min="14847" max="14847" width="16.425781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6" width="16.42578125" customWidth="1"/>
    <col min="14857" max="14857" width="13" customWidth="1"/>
    <col min="14858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42578125" customWidth="1"/>
    <col min="15103" max="15103" width="16.425781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2" width="16.42578125" customWidth="1"/>
    <col min="15113" max="15113" width="13" customWidth="1"/>
    <col min="15114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42578125" customWidth="1"/>
    <col min="15359" max="15359" width="16.425781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8" width="16.42578125" customWidth="1"/>
    <col min="15369" max="15369" width="13" customWidth="1"/>
    <col min="15370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42578125" customWidth="1"/>
    <col min="15615" max="15615" width="16.425781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4" width="16.42578125" customWidth="1"/>
    <col min="15625" max="15625" width="13" customWidth="1"/>
    <col min="15626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42578125" customWidth="1"/>
    <col min="15871" max="15871" width="16.425781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0" width="16.42578125" customWidth="1"/>
    <col min="15881" max="15881" width="13" customWidth="1"/>
    <col min="15882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42578125" customWidth="1"/>
    <col min="16127" max="16127" width="16.425781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6" width="16.42578125" customWidth="1"/>
    <col min="16137" max="16137" width="13" customWidth="1"/>
    <col min="16138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1" spans="2:37" s="7" customFormat="1" ht="18.75" thickBot="1">
      <c r="B1" s="357" t="s">
        <v>171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65"/>
      <c r="N1" s="365"/>
      <c r="O1" s="365"/>
      <c r="P1" s="365"/>
      <c r="Q1" s="365"/>
      <c r="R1" s="365"/>
      <c r="S1" s="365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2:37" s="7" customFormat="1" ht="32.25" customHeight="1" thickBot="1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  <c r="M2" s="366" t="s">
        <v>26</v>
      </c>
      <c r="N2" s="367"/>
      <c r="O2" s="368"/>
      <c r="P2" s="275" t="s">
        <v>33</v>
      </c>
      <c r="Q2" s="367" t="s">
        <v>34</v>
      </c>
      <c r="R2" s="367"/>
      <c r="S2" s="36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2:37" ht="26.25" thickBot="1">
      <c r="B3" s="267" t="s">
        <v>0</v>
      </c>
      <c r="C3" s="265" t="s">
        <v>165</v>
      </c>
      <c r="D3" s="266" t="s">
        <v>1</v>
      </c>
      <c r="E3" s="267" t="s">
        <v>481</v>
      </c>
      <c r="F3" s="267" t="s">
        <v>115</v>
      </c>
      <c r="G3" s="268" t="s">
        <v>164</v>
      </c>
      <c r="H3" s="267" t="s">
        <v>116</v>
      </c>
      <c r="I3" s="267" t="s">
        <v>2</v>
      </c>
      <c r="J3" s="370" t="s">
        <v>3</v>
      </c>
      <c r="K3" s="370"/>
      <c r="L3" s="371"/>
      <c r="M3" s="269" t="s">
        <v>27</v>
      </c>
      <c r="N3" s="270" t="s">
        <v>28</v>
      </c>
      <c r="O3" s="271" t="s">
        <v>29</v>
      </c>
      <c r="P3" s="271" t="s">
        <v>27</v>
      </c>
      <c r="Q3" s="272" t="s">
        <v>4</v>
      </c>
      <c r="R3" s="273" t="s">
        <v>5</v>
      </c>
      <c r="S3" s="274" t="s">
        <v>6</v>
      </c>
    </row>
    <row r="4" spans="2:37" s="16" customFormat="1" ht="22.5">
      <c r="B4" s="106">
        <v>1</v>
      </c>
      <c r="C4" s="107" t="s">
        <v>421</v>
      </c>
      <c r="D4" s="263" t="s">
        <v>225</v>
      </c>
      <c r="E4" s="232" t="s">
        <v>515</v>
      </c>
      <c r="F4" s="264" t="s">
        <v>226</v>
      </c>
      <c r="G4" s="215" t="s">
        <v>427</v>
      </c>
      <c r="H4" s="109" t="str">
        <f>UPPER(G4)</f>
        <v>PARTICIPAR DO 2º ENCONTRO BB PREVIDÊNCIA COM PATROCINADORES E INSTITUIDORES.</v>
      </c>
      <c r="I4" s="109" t="s">
        <v>65</v>
      </c>
      <c r="J4" s="150">
        <v>43617</v>
      </c>
      <c r="K4" s="111">
        <v>13</v>
      </c>
      <c r="L4" s="112">
        <v>14</v>
      </c>
      <c r="M4" s="124">
        <v>82</v>
      </c>
      <c r="N4" s="124">
        <v>84.7</v>
      </c>
      <c r="O4" s="124"/>
      <c r="P4" s="118"/>
      <c r="Q4" s="113">
        <v>0</v>
      </c>
      <c r="R4" s="114">
        <v>0</v>
      </c>
      <c r="S4" s="115">
        <f>M4+N4+O4+P4+Q4+R4</f>
        <v>166.7</v>
      </c>
      <c r="T4" s="15"/>
      <c r="U4" s="15"/>
      <c r="V4" s="15"/>
      <c r="W4" s="15"/>
    </row>
    <row r="5" spans="2:37" s="16" customFormat="1" ht="22.5">
      <c r="B5" s="94">
        <v>2</v>
      </c>
      <c r="C5" s="56" t="s">
        <v>422</v>
      </c>
      <c r="D5" s="168" t="s">
        <v>112</v>
      </c>
      <c r="E5" s="230" t="s">
        <v>498</v>
      </c>
      <c r="F5" s="202" t="s">
        <v>133</v>
      </c>
      <c r="G5" s="164" t="s">
        <v>428</v>
      </c>
      <c r="H5" s="9" t="str">
        <f>UPPER(G5)</f>
        <v>TREINAMENTO AGHUSE - PROJETO AGHUSE - MÓDULO ASSISTENCIAL ENFERMAGEM</v>
      </c>
      <c r="I5" s="9" t="s">
        <v>420</v>
      </c>
      <c r="J5" s="155">
        <v>43617</v>
      </c>
      <c r="K5" s="10">
        <v>4</v>
      </c>
      <c r="L5" s="11">
        <v>5</v>
      </c>
      <c r="M5" s="57">
        <v>72.709999999999994</v>
      </c>
      <c r="N5" s="57">
        <v>0</v>
      </c>
      <c r="O5" s="57"/>
      <c r="P5" s="54"/>
      <c r="Q5" s="13">
        <v>0</v>
      </c>
      <c r="R5" s="14">
        <v>0</v>
      </c>
      <c r="S5" s="93">
        <f t="shared" ref="S5:S30" si="0">M5+N5+O5+P5+Q5+R5</f>
        <v>72.709999999999994</v>
      </c>
      <c r="T5" s="15"/>
      <c r="U5" s="15"/>
      <c r="V5" s="15"/>
      <c r="W5" s="15"/>
    </row>
    <row r="6" spans="2:37" s="16" customFormat="1" ht="22.5">
      <c r="B6" s="94">
        <v>3</v>
      </c>
      <c r="C6" s="55" t="s">
        <v>423</v>
      </c>
      <c r="D6" s="168" t="s">
        <v>99</v>
      </c>
      <c r="E6" s="230" t="s">
        <v>499</v>
      </c>
      <c r="F6" s="194" t="s">
        <v>214</v>
      </c>
      <c r="G6" s="202" t="s">
        <v>429</v>
      </c>
      <c r="H6" s="9" t="str">
        <f t="shared" ref="H6:H30" si="1">UPPER(G6)</f>
        <v>TREINAMENTO INTERNAÇÃO ASSISTENCIAL - MÉDICO</v>
      </c>
      <c r="I6" s="9" t="s">
        <v>420</v>
      </c>
      <c r="J6" s="155">
        <v>43617</v>
      </c>
      <c r="K6" s="10">
        <v>5</v>
      </c>
      <c r="L6" s="11">
        <v>6</v>
      </c>
      <c r="M6" s="57">
        <v>64</v>
      </c>
      <c r="N6" s="57">
        <v>0</v>
      </c>
      <c r="O6" s="57"/>
      <c r="P6" s="54"/>
      <c r="Q6" s="13">
        <v>0</v>
      </c>
      <c r="R6" s="14">
        <v>0</v>
      </c>
      <c r="S6" s="93">
        <f t="shared" si="0"/>
        <v>64</v>
      </c>
      <c r="T6" s="15"/>
      <c r="U6" s="15"/>
      <c r="V6" s="15"/>
      <c r="W6" s="15"/>
    </row>
    <row r="7" spans="2:37" s="16" customFormat="1" ht="12.75">
      <c r="B7" s="94">
        <v>4</v>
      </c>
      <c r="C7" s="55" t="s">
        <v>424</v>
      </c>
      <c r="D7" s="168" t="s">
        <v>57</v>
      </c>
      <c r="E7" s="230" t="s">
        <v>482</v>
      </c>
      <c r="F7" s="196" t="s">
        <v>448</v>
      </c>
      <c r="G7" s="10" t="s">
        <v>469</v>
      </c>
      <c r="H7" s="9" t="str">
        <f t="shared" si="1"/>
        <v>REUNIÃO DO CONSELHO DE ADMINISTRAÇÃO</v>
      </c>
      <c r="I7" s="10" t="s">
        <v>356</v>
      </c>
      <c r="J7" s="17">
        <v>43617</v>
      </c>
      <c r="K7" s="10">
        <v>24</v>
      </c>
      <c r="L7" s="11">
        <v>24</v>
      </c>
      <c r="M7" s="57"/>
      <c r="N7" s="57"/>
      <c r="O7" s="57"/>
      <c r="P7" s="54">
        <v>0</v>
      </c>
      <c r="Q7" s="13">
        <v>2328.37</v>
      </c>
      <c r="R7" s="14">
        <v>0</v>
      </c>
      <c r="S7" s="93">
        <f t="shared" si="0"/>
        <v>2328.37</v>
      </c>
      <c r="T7" s="15"/>
      <c r="U7" s="15"/>
      <c r="V7" s="15"/>
      <c r="W7" s="15"/>
    </row>
    <row r="8" spans="2:37" s="16" customFormat="1" ht="12.75">
      <c r="B8" s="94">
        <v>5</v>
      </c>
      <c r="C8" s="56" t="s">
        <v>425</v>
      </c>
      <c r="D8" s="168" t="s">
        <v>335</v>
      </c>
      <c r="E8" s="230" t="s">
        <v>538</v>
      </c>
      <c r="F8" s="194" t="s">
        <v>336</v>
      </c>
      <c r="G8" s="202" t="s">
        <v>430</v>
      </c>
      <c r="H8" s="9" t="str">
        <f t="shared" si="1"/>
        <v>MINISTRAR TREINAMENTO AGHUSE - UNICAMP</v>
      </c>
      <c r="I8" s="9" t="s">
        <v>420</v>
      </c>
      <c r="J8" s="155">
        <v>43617</v>
      </c>
      <c r="K8" s="10">
        <v>17</v>
      </c>
      <c r="L8" s="11">
        <v>19</v>
      </c>
      <c r="M8" s="57"/>
      <c r="N8" s="57"/>
      <c r="O8" s="57"/>
      <c r="P8" s="54">
        <f>25.72+32</f>
        <v>57.72</v>
      </c>
      <c r="Q8" s="13">
        <v>0</v>
      </c>
      <c r="R8" s="14">
        <v>0</v>
      </c>
      <c r="S8" s="93">
        <f t="shared" si="0"/>
        <v>57.72</v>
      </c>
      <c r="T8" s="15"/>
      <c r="U8" s="15"/>
      <c r="V8" s="15"/>
      <c r="W8" s="15"/>
    </row>
    <row r="9" spans="2:37" s="16" customFormat="1" ht="22.5">
      <c r="B9" s="94">
        <v>6</v>
      </c>
      <c r="C9" s="56" t="s">
        <v>426</v>
      </c>
      <c r="D9" s="168" t="s">
        <v>107</v>
      </c>
      <c r="E9" s="230" t="s">
        <v>483</v>
      </c>
      <c r="F9" s="196" t="s">
        <v>448</v>
      </c>
      <c r="G9" s="164" t="s">
        <v>431</v>
      </c>
      <c r="H9" s="9" t="str">
        <f t="shared" si="1"/>
        <v>REUNIÃO DO CONSELHO DE ADMINISTRAÇÃO E TREINAMENTO DOS CONSELHEIROS.</v>
      </c>
      <c r="I9" s="10" t="s">
        <v>108</v>
      </c>
      <c r="J9" s="17">
        <v>43617</v>
      </c>
      <c r="K9" s="10">
        <v>24</v>
      </c>
      <c r="L9" s="11">
        <v>26</v>
      </c>
      <c r="M9" s="57"/>
      <c r="N9" s="57"/>
      <c r="O9" s="57"/>
      <c r="P9" s="54"/>
      <c r="Q9" s="13">
        <f>595.73+545.98+1287.98</f>
        <v>2429.69</v>
      </c>
      <c r="R9" s="14">
        <v>0</v>
      </c>
      <c r="S9" s="93">
        <f t="shared" si="0"/>
        <v>2429.69</v>
      </c>
      <c r="T9" s="15"/>
      <c r="U9" s="15"/>
      <c r="V9" s="15"/>
      <c r="W9" s="15"/>
    </row>
    <row r="10" spans="2:37" s="16" customFormat="1" ht="22.5">
      <c r="B10" s="94">
        <v>7</v>
      </c>
      <c r="C10" s="56" t="s">
        <v>432</v>
      </c>
      <c r="D10" s="168" t="s">
        <v>449</v>
      </c>
      <c r="E10" s="55" t="s">
        <v>566</v>
      </c>
      <c r="F10" s="260" t="s">
        <v>450</v>
      </c>
      <c r="G10" s="164" t="s">
        <v>470</v>
      </c>
      <c r="H10" s="9" t="str">
        <f t="shared" si="1"/>
        <v>PARTICIPAR DO GRAND ROUND - USO E ABUSO DE GH DA CRIANÇA E DO IDOSO.</v>
      </c>
      <c r="I10" s="10" t="s">
        <v>480</v>
      </c>
      <c r="J10" s="17">
        <v>43647</v>
      </c>
      <c r="K10" s="10">
        <v>23</v>
      </c>
      <c r="L10" s="11">
        <v>24</v>
      </c>
      <c r="M10" s="57"/>
      <c r="N10" s="57"/>
      <c r="O10" s="57"/>
      <c r="P10" s="54"/>
      <c r="Q10" s="13">
        <v>523.83000000000004</v>
      </c>
      <c r="R10" s="14">
        <v>255</v>
      </c>
      <c r="S10" s="93">
        <f t="shared" si="0"/>
        <v>778.83</v>
      </c>
      <c r="T10" s="15"/>
      <c r="U10" s="15"/>
      <c r="V10" s="15"/>
      <c r="W10" s="15"/>
    </row>
    <row r="11" spans="2:37" s="16" customFormat="1" ht="12.75">
      <c r="B11" s="94">
        <v>8</v>
      </c>
      <c r="C11" s="55" t="s">
        <v>433</v>
      </c>
      <c r="D11" s="168" t="s">
        <v>451</v>
      </c>
      <c r="E11" s="230" t="s">
        <v>567</v>
      </c>
      <c r="F11" s="196" t="s">
        <v>448</v>
      </c>
      <c r="G11" s="10" t="s">
        <v>469</v>
      </c>
      <c r="H11" s="9" t="str">
        <f t="shared" si="1"/>
        <v>REUNIÃO DO CONSELHO DE ADMINISTRAÇÃO</v>
      </c>
      <c r="I11" s="10" t="s">
        <v>356</v>
      </c>
      <c r="J11" s="17">
        <v>43617</v>
      </c>
      <c r="K11" s="10">
        <v>23</v>
      </c>
      <c r="L11" s="11">
        <v>24</v>
      </c>
      <c r="M11" s="57"/>
      <c r="N11" s="57"/>
      <c r="O11" s="57"/>
      <c r="P11" s="54">
        <v>0</v>
      </c>
      <c r="Q11" s="13">
        <v>3104.37</v>
      </c>
      <c r="R11" s="14">
        <v>0</v>
      </c>
      <c r="S11" s="93">
        <f t="shared" si="0"/>
        <v>3104.37</v>
      </c>
      <c r="T11" s="15"/>
      <c r="U11" s="15"/>
      <c r="V11" s="15"/>
      <c r="W11" s="15"/>
    </row>
    <row r="12" spans="2:37" s="16" customFormat="1" ht="26.25" customHeight="1">
      <c r="B12" s="94">
        <v>9</v>
      </c>
      <c r="C12" s="55" t="s">
        <v>434</v>
      </c>
      <c r="D12" s="168" t="s">
        <v>204</v>
      </c>
      <c r="E12" s="230" t="s">
        <v>494</v>
      </c>
      <c r="F12" s="194" t="s">
        <v>452</v>
      </c>
      <c r="G12" s="9" t="s">
        <v>471</v>
      </c>
      <c r="H12" s="9" t="str">
        <f t="shared" si="1"/>
        <v>REUNIAO COM PARTES E REPRESENTANTES DO PROCESSO 15.2017.4.03.6100 9ª VF DE SÃO PAULO</v>
      </c>
      <c r="I12" s="10" t="s">
        <v>358</v>
      </c>
      <c r="J12" s="17">
        <v>43617</v>
      </c>
      <c r="K12" s="10">
        <v>12</v>
      </c>
      <c r="L12" s="11">
        <v>12</v>
      </c>
      <c r="M12" s="57"/>
      <c r="N12" s="57">
        <v>97</v>
      </c>
      <c r="O12" s="57"/>
      <c r="P12" s="54">
        <v>46.78</v>
      </c>
      <c r="Q12" s="13">
        <f>1053.98+1055.85</f>
        <v>2109.83</v>
      </c>
      <c r="R12" s="14">
        <v>0</v>
      </c>
      <c r="S12" s="93">
        <f t="shared" si="0"/>
        <v>2253.61</v>
      </c>
      <c r="T12" s="15"/>
      <c r="U12" s="15"/>
      <c r="V12" s="15"/>
      <c r="W12" s="15"/>
    </row>
    <row r="13" spans="2:37" s="16" customFormat="1" ht="23.25" customHeight="1">
      <c r="B13" s="94">
        <v>10</v>
      </c>
      <c r="C13" s="55" t="s">
        <v>434</v>
      </c>
      <c r="D13" s="168" t="s">
        <v>206</v>
      </c>
      <c r="E13" s="230" t="s">
        <v>510</v>
      </c>
      <c r="F13" s="194" t="s">
        <v>453</v>
      </c>
      <c r="G13" s="9" t="s">
        <v>471</v>
      </c>
      <c r="H13" s="9" t="str">
        <f t="shared" si="1"/>
        <v>REUNIAO COM PARTES E REPRESENTANTES DO PROCESSO 15.2017.4.03.6100 9ª VF DE SÃO PAULO</v>
      </c>
      <c r="I13" s="10" t="s">
        <v>358</v>
      </c>
      <c r="J13" s="17">
        <v>43617</v>
      </c>
      <c r="K13" s="10">
        <v>12</v>
      </c>
      <c r="L13" s="11">
        <v>12</v>
      </c>
      <c r="M13" s="57">
        <v>88.39</v>
      </c>
      <c r="N13" s="57">
        <v>97</v>
      </c>
      <c r="O13" s="57"/>
      <c r="P13" s="54">
        <f>79+40.5</f>
        <v>119.5</v>
      </c>
      <c r="Q13" s="13">
        <f>1053.98+1055.85</f>
        <v>2109.83</v>
      </c>
      <c r="R13" s="14">
        <v>0</v>
      </c>
      <c r="S13" s="93">
        <f t="shared" si="0"/>
        <v>2414.7199999999998</v>
      </c>
      <c r="T13" s="15"/>
      <c r="U13" s="15"/>
      <c r="V13" s="15"/>
      <c r="W13" s="15"/>
    </row>
    <row r="14" spans="2:37" s="16" customFormat="1" ht="12.75">
      <c r="B14" s="94">
        <v>11</v>
      </c>
      <c r="C14" s="55" t="s">
        <v>435</v>
      </c>
      <c r="D14" s="168" t="s">
        <v>70</v>
      </c>
      <c r="E14" s="230" t="s">
        <v>484</v>
      </c>
      <c r="F14" s="237" t="s">
        <v>454</v>
      </c>
      <c r="G14" s="163" t="s">
        <v>472</v>
      </c>
      <c r="H14" s="9" t="str">
        <f t="shared" si="1"/>
        <v>REUNIÃO NO MINISTÉRIO DO PLANEJAMENTO</v>
      </c>
      <c r="I14" s="10" t="s">
        <v>65</v>
      </c>
      <c r="J14" s="17">
        <v>43617</v>
      </c>
      <c r="K14" s="10">
        <v>18</v>
      </c>
      <c r="L14" s="11">
        <v>18</v>
      </c>
      <c r="M14" s="57"/>
      <c r="N14" s="57">
        <v>91.74</v>
      </c>
      <c r="O14" s="57"/>
      <c r="P14" s="54">
        <v>0</v>
      </c>
      <c r="Q14" s="13">
        <v>2590.37</v>
      </c>
      <c r="R14" s="14">
        <v>500</v>
      </c>
      <c r="S14" s="93">
        <f t="shared" si="0"/>
        <v>3182.1099999999997</v>
      </c>
      <c r="T14" s="15"/>
      <c r="U14" s="15"/>
      <c r="V14" s="15"/>
      <c r="W14" s="15"/>
    </row>
    <row r="15" spans="2:37" s="16" customFormat="1" ht="12.75">
      <c r="B15" s="94">
        <v>12</v>
      </c>
      <c r="C15" s="55" t="s">
        <v>436</v>
      </c>
      <c r="D15" s="168" t="s">
        <v>227</v>
      </c>
      <c r="E15" s="230" t="s">
        <v>516</v>
      </c>
      <c r="F15" s="236" t="s">
        <v>455</v>
      </c>
      <c r="G15" s="163" t="s">
        <v>472</v>
      </c>
      <c r="H15" s="9" t="str">
        <f t="shared" si="1"/>
        <v>REUNIÃO NO MINISTÉRIO DO PLANEJAMENTO</v>
      </c>
      <c r="I15" s="10" t="s">
        <v>65</v>
      </c>
      <c r="J15" s="17">
        <v>43617</v>
      </c>
      <c r="K15" s="10">
        <v>18</v>
      </c>
      <c r="L15" s="11">
        <v>18</v>
      </c>
      <c r="M15" s="57">
        <v>35</v>
      </c>
      <c r="N15" s="57">
        <v>97</v>
      </c>
      <c r="O15" s="57"/>
      <c r="P15" s="54">
        <f>29</f>
        <v>29</v>
      </c>
      <c r="Q15" s="13">
        <f>1287.98+1344.39</f>
        <v>2632.37</v>
      </c>
      <c r="R15" s="14">
        <v>0</v>
      </c>
      <c r="S15" s="93">
        <f t="shared" si="0"/>
        <v>2793.37</v>
      </c>
      <c r="T15" s="15"/>
      <c r="U15" s="15"/>
      <c r="V15" s="15"/>
      <c r="W15" s="15"/>
    </row>
    <row r="16" spans="2:37" s="16" customFormat="1" ht="12.75">
      <c r="B16" s="94">
        <v>13</v>
      </c>
      <c r="C16" s="55" t="s">
        <v>437</v>
      </c>
      <c r="D16" s="168" t="s">
        <v>225</v>
      </c>
      <c r="E16" s="230" t="s">
        <v>515</v>
      </c>
      <c r="F16" s="194" t="s">
        <v>226</v>
      </c>
      <c r="G16" s="163" t="s">
        <v>472</v>
      </c>
      <c r="H16" s="9" t="str">
        <f t="shared" si="1"/>
        <v>REUNIÃO NO MINISTÉRIO DO PLANEJAMENTO</v>
      </c>
      <c r="I16" s="10" t="s">
        <v>65</v>
      </c>
      <c r="J16" s="17">
        <v>43617</v>
      </c>
      <c r="K16" s="10">
        <v>18</v>
      </c>
      <c r="L16" s="11">
        <v>19</v>
      </c>
      <c r="M16" s="57">
        <v>175.54</v>
      </c>
      <c r="N16" s="57">
        <v>128.16999999999999</v>
      </c>
      <c r="O16" s="57"/>
      <c r="P16" s="54">
        <v>0</v>
      </c>
      <c r="Q16" s="13">
        <v>2370.4699999999998</v>
      </c>
      <c r="R16" s="14">
        <f>312.8+88.55</f>
        <v>401.35</v>
      </c>
      <c r="S16" s="93">
        <f t="shared" si="0"/>
        <v>3075.5299999999997</v>
      </c>
      <c r="T16" s="15"/>
      <c r="U16" s="15"/>
      <c r="V16" s="15"/>
      <c r="W16" s="15"/>
    </row>
    <row r="17" spans="2:23" s="16" customFormat="1" ht="22.5">
      <c r="B17" s="94">
        <v>14</v>
      </c>
      <c r="C17" s="55" t="s">
        <v>438</v>
      </c>
      <c r="D17" s="168" t="s">
        <v>456</v>
      </c>
      <c r="E17" s="230" t="s">
        <v>568</v>
      </c>
      <c r="F17" s="194" t="s">
        <v>457</v>
      </c>
      <c r="G17" s="164" t="s">
        <v>473</v>
      </c>
      <c r="H17" s="9" t="str">
        <f t="shared" si="1"/>
        <v>REUNIÃO NO MINISTÉRIO DO PLANEJAMENTO PARA ASSUNTOS DE FOLHA DE PAGAMENTO</v>
      </c>
      <c r="I17" s="10" t="s">
        <v>65</v>
      </c>
      <c r="J17" s="17">
        <v>43617</v>
      </c>
      <c r="K17" s="10">
        <v>18</v>
      </c>
      <c r="L17" s="11">
        <v>19</v>
      </c>
      <c r="M17" s="57">
        <v>0</v>
      </c>
      <c r="N17" s="57">
        <v>85.5</v>
      </c>
      <c r="O17" s="57"/>
      <c r="P17" s="54">
        <f>30+67.84</f>
        <v>97.84</v>
      </c>
      <c r="Q17" s="13">
        <f>962.98+1082.49</f>
        <v>2045.47</v>
      </c>
      <c r="R17" s="14">
        <f>312.8+79.2</f>
        <v>392</v>
      </c>
      <c r="S17" s="93">
        <f t="shared" si="0"/>
        <v>2620.81</v>
      </c>
      <c r="T17" s="15"/>
      <c r="U17" s="15"/>
      <c r="V17" s="15"/>
      <c r="W17" s="15"/>
    </row>
    <row r="18" spans="2:23" s="16" customFormat="1" ht="22.5">
      <c r="B18" s="94">
        <v>15</v>
      </c>
      <c r="C18" s="55" t="s">
        <v>439</v>
      </c>
      <c r="D18" s="168" t="s">
        <v>458</v>
      </c>
      <c r="E18" s="230" t="s">
        <v>569</v>
      </c>
      <c r="F18" s="194" t="s">
        <v>459</v>
      </c>
      <c r="G18" s="164" t="s">
        <v>473</v>
      </c>
      <c r="H18" s="9" t="str">
        <f t="shared" si="1"/>
        <v>REUNIÃO NO MINISTÉRIO DO PLANEJAMENTO PARA ASSUNTOS DE FOLHA DE PAGAMENTO</v>
      </c>
      <c r="I18" s="10" t="s">
        <v>65</v>
      </c>
      <c r="J18" s="17">
        <v>43617</v>
      </c>
      <c r="K18" s="10">
        <v>18</v>
      </c>
      <c r="L18" s="11">
        <v>19</v>
      </c>
      <c r="M18" s="57">
        <v>0</v>
      </c>
      <c r="N18" s="57">
        <v>33.82</v>
      </c>
      <c r="O18" s="57"/>
      <c r="P18" s="54">
        <f>30.92+58+42</f>
        <v>130.92000000000002</v>
      </c>
      <c r="Q18" s="13">
        <f>962.98+1082.49</f>
        <v>2045.47</v>
      </c>
      <c r="R18" s="14">
        <f>312.8+61.6</f>
        <v>374.40000000000003</v>
      </c>
      <c r="S18" s="93">
        <f t="shared" si="0"/>
        <v>2584.61</v>
      </c>
      <c r="T18" s="15"/>
      <c r="U18" s="15"/>
      <c r="V18" s="15"/>
      <c r="W18" s="15"/>
    </row>
    <row r="19" spans="2:23" s="16" customFormat="1" ht="33.75">
      <c r="B19" s="94">
        <v>16</v>
      </c>
      <c r="C19" s="55" t="s">
        <v>440</v>
      </c>
      <c r="D19" s="168" t="s">
        <v>460</v>
      </c>
      <c r="E19" s="230" t="s">
        <v>570</v>
      </c>
      <c r="F19" s="194" t="s">
        <v>577</v>
      </c>
      <c r="G19" s="164" t="s">
        <v>474</v>
      </c>
      <c r="H19" s="9" t="str">
        <f t="shared" si="1"/>
        <v>TREINAMENTO AGHUSE - MÓDULO EXAMES E IMPLANTAÇÃO AGHUSE - MÓDULO PATOLOGIA CIRÚRGICA</v>
      </c>
      <c r="I19" s="10" t="s">
        <v>65</v>
      </c>
      <c r="J19" s="17">
        <v>43617</v>
      </c>
      <c r="K19" s="10">
        <v>24</v>
      </c>
      <c r="L19" s="11">
        <v>26</v>
      </c>
      <c r="M19" s="57"/>
      <c r="N19" s="57"/>
      <c r="O19" s="57"/>
      <c r="P19" s="54">
        <v>0</v>
      </c>
      <c r="Q19" s="13">
        <f>1168.98+904.39</f>
        <v>2073.37</v>
      </c>
      <c r="R19" s="14">
        <v>0</v>
      </c>
      <c r="S19" s="93">
        <f t="shared" si="0"/>
        <v>2073.37</v>
      </c>
      <c r="T19" s="15"/>
      <c r="U19" s="15"/>
      <c r="V19" s="15"/>
      <c r="W19" s="15"/>
    </row>
    <row r="20" spans="2:23" s="16" customFormat="1" ht="12.75">
      <c r="B20" s="94">
        <v>17</v>
      </c>
      <c r="C20" s="55" t="s">
        <v>441</v>
      </c>
      <c r="D20" s="168" t="s">
        <v>393</v>
      </c>
      <c r="E20" s="230" t="s">
        <v>552</v>
      </c>
      <c r="F20" s="236" t="s">
        <v>578</v>
      </c>
      <c r="G20" s="164" t="s">
        <v>581</v>
      </c>
      <c r="H20" s="9" t="str">
        <f t="shared" si="1"/>
        <v> PROJETO AGHUSE - EXÉRCITO BRASILEIRO</v>
      </c>
      <c r="I20" s="10" t="s">
        <v>65</v>
      </c>
      <c r="J20" s="17">
        <v>43618</v>
      </c>
      <c r="K20" s="10">
        <v>24</v>
      </c>
      <c r="L20" s="11">
        <v>26</v>
      </c>
      <c r="M20" s="57"/>
      <c r="N20" s="57"/>
      <c r="O20" s="57"/>
      <c r="P20" s="54">
        <v>0</v>
      </c>
      <c r="Q20" s="13">
        <f>1168.98+823.39</f>
        <v>1992.37</v>
      </c>
      <c r="R20" s="14">
        <v>0</v>
      </c>
      <c r="S20" s="93">
        <f t="shared" si="0"/>
        <v>1992.37</v>
      </c>
      <c r="T20" s="15"/>
      <c r="U20" s="15"/>
      <c r="V20" s="15"/>
      <c r="W20" s="15"/>
    </row>
    <row r="21" spans="2:23" s="16" customFormat="1" ht="12.75">
      <c r="B21" s="94">
        <v>18</v>
      </c>
      <c r="C21" s="55" t="s">
        <v>442</v>
      </c>
      <c r="D21" s="168" t="s">
        <v>461</v>
      </c>
      <c r="E21" s="230" t="s">
        <v>571</v>
      </c>
      <c r="F21" s="194" t="s">
        <v>462</v>
      </c>
      <c r="G21" s="164" t="s">
        <v>475</v>
      </c>
      <c r="H21" s="9" t="str">
        <f t="shared" si="1"/>
        <v>PARTICIPAR DO CURSO BAYLEY III</v>
      </c>
      <c r="I21" s="9" t="s">
        <v>358</v>
      </c>
      <c r="J21" s="17">
        <v>43617</v>
      </c>
      <c r="K21" s="10">
        <v>20</v>
      </c>
      <c r="L21" s="11">
        <v>22</v>
      </c>
      <c r="M21" s="57">
        <v>106.32</v>
      </c>
      <c r="N21" s="57">
        <v>186.45</v>
      </c>
      <c r="O21" s="57"/>
      <c r="P21" s="54">
        <v>0</v>
      </c>
      <c r="Q21" s="13">
        <f>815.98+694.85</f>
        <v>1510.83</v>
      </c>
      <c r="R21" s="313">
        <f>798+16</f>
        <v>814</v>
      </c>
      <c r="S21" s="93">
        <f t="shared" si="0"/>
        <v>2617.6</v>
      </c>
      <c r="T21" s="15"/>
      <c r="U21" s="15"/>
      <c r="V21" s="15"/>
      <c r="W21" s="15"/>
    </row>
    <row r="22" spans="2:23" s="16" customFormat="1" ht="12.75">
      <c r="B22" s="94">
        <v>19</v>
      </c>
      <c r="C22" s="55" t="s">
        <v>443</v>
      </c>
      <c r="D22" s="168" t="s">
        <v>335</v>
      </c>
      <c r="E22" s="230" t="s">
        <v>538</v>
      </c>
      <c r="F22" s="194" t="s">
        <v>336</v>
      </c>
      <c r="G22" s="164" t="s">
        <v>476</v>
      </c>
      <c r="H22" s="9" t="str">
        <f t="shared" si="1"/>
        <v>IMPLANTAÇÃO MÓDULO CCIH AGHUSE</v>
      </c>
      <c r="I22" s="10" t="s">
        <v>65</v>
      </c>
      <c r="J22" s="17">
        <v>43647</v>
      </c>
      <c r="K22" s="10">
        <v>2</v>
      </c>
      <c r="L22" s="11">
        <v>4</v>
      </c>
      <c r="M22" s="57">
        <v>0</v>
      </c>
      <c r="N22" s="57">
        <v>186.1</v>
      </c>
      <c r="O22" s="57"/>
      <c r="P22" s="54">
        <f>26+28.5+32.5+41+16+37+35</f>
        <v>216</v>
      </c>
      <c r="Q22" s="13">
        <f>829.98+592.39</f>
        <v>1422.37</v>
      </c>
      <c r="R22" s="14">
        <f>595.7+121.99</f>
        <v>717.69</v>
      </c>
      <c r="S22" s="93">
        <f t="shared" si="0"/>
        <v>2542.16</v>
      </c>
      <c r="T22" s="15"/>
      <c r="U22" s="15"/>
      <c r="V22" s="15"/>
      <c r="W22" s="15"/>
    </row>
    <row r="23" spans="2:23" s="16" customFormat="1" ht="33.75" customHeight="1">
      <c r="B23" s="94">
        <v>20</v>
      </c>
      <c r="C23" s="55" t="s">
        <v>444</v>
      </c>
      <c r="D23" s="168" t="s">
        <v>463</v>
      </c>
      <c r="E23" s="230" t="s">
        <v>514</v>
      </c>
      <c r="F23" s="236" t="s">
        <v>464</v>
      </c>
      <c r="G23" s="261" t="s">
        <v>582</v>
      </c>
      <c r="H23" s="9" t="str">
        <f t="shared" si="1"/>
        <v>IMPLANTAÇÃO DO SISTEMA AGHUSE, MÓDULO CCIH NO HMAB (HOSPITAL MILITAR DE ÁREA URBANA). COMO CONSULTOR TÉCNICO DA ÁREA DE TI</v>
      </c>
      <c r="I23" s="10" t="s">
        <v>65</v>
      </c>
      <c r="J23" s="17">
        <v>43647</v>
      </c>
      <c r="K23" s="10">
        <v>2</v>
      </c>
      <c r="L23" s="11">
        <v>4</v>
      </c>
      <c r="M23" s="57"/>
      <c r="N23" s="57">
        <v>227.7</v>
      </c>
      <c r="O23" s="57"/>
      <c r="P23" s="54">
        <f>14.8+60+39.8+32.5+38+37+24</f>
        <v>246.1</v>
      </c>
      <c r="Q23" s="13">
        <f>829.98+592.39+1093.98</f>
        <v>2516.35</v>
      </c>
      <c r="R23" s="14">
        <f>595.7+99.99</f>
        <v>695.69</v>
      </c>
      <c r="S23" s="93">
        <f t="shared" si="0"/>
        <v>3685.8399999999997</v>
      </c>
      <c r="T23" s="15"/>
      <c r="U23" s="15"/>
      <c r="V23" s="15"/>
      <c r="W23" s="15"/>
    </row>
    <row r="24" spans="2:23" s="16" customFormat="1" ht="22.5">
      <c r="B24" s="94">
        <v>21</v>
      </c>
      <c r="C24" s="55" t="s">
        <v>445</v>
      </c>
      <c r="D24" s="168" t="s">
        <v>102</v>
      </c>
      <c r="E24" s="230" t="s">
        <v>496</v>
      </c>
      <c r="F24" s="194" t="s">
        <v>465</v>
      </c>
      <c r="G24" s="224" t="s">
        <v>477</v>
      </c>
      <c r="H24" s="9" t="str">
        <f t="shared" si="1"/>
        <v>REUNIÃO COM A EMPRESA CAPGEMINI BRASIL S/A E PARTICIPAÇÃO NO IT FÓRUM+.</v>
      </c>
      <c r="I24" s="9" t="s">
        <v>72</v>
      </c>
      <c r="J24" s="17">
        <v>43678</v>
      </c>
      <c r="K24" s="10">
        <v>13</v>
      </c>
      <c r="L24" s="11">
        <v>18</v>
      </c>
      <c r="M24" s="57">
        <v>78.03</v>
      </c>
      <c r="N24" s="57">
        <v>205.2</v>
      </c>
      <c r="O24" s="57"/>
      <c r="P24" s="54">
        <v>0</v>
      </c>
      <c r="Q24" s="13">
        <v>1268.96</v>
      </c>
      <c r="R24" s="14">
        <f>289.8+10</f>
        <v>299.8</v>
      </c>
      <c r="S24" s="93">
        <f t="shared" si="0"/>
        <v>1851.99</v>
      </c>
      <c r="T24" s="15"/>
      <c r="U24" s="15"/>
      <c r="V24" s="15"/>
      <c r="W24" s="15"/>
    </row>
    <row r="25" spans="2:23" s="16" customFormat="1" ht="22.5">
      <c r="B25" s="94">
        <v>22</v>
      </c>
      <c r="C25" s="55" t="s">
        <v>446</v>
      </c>
      <c r="D25" s="168" t="s">
        <v>466</v>
      </c>
      <c r="E25" s="230" t="s">
        <v>522</v>
      </c>
      <c r="F25" s="202" t="s">
        <v>219</v>
      </c>
      <c r="G25" s="164" t="s">
        <v>478</v>
      </c>
      <c r="H25" s="9" t="str">
        <f t="shared" si="1"/>
        <v>TREINAMENTO AGHUSE UNICAMP - CASDASTRO DE MEDICAMENTOS (MÓDULO FARMÁCIA)</v>
      </c>
      <c r="I25" s="9" t="s">
        <v>420</v>
      </c>
      <c r="J25" s="17">
        <v>43617</v>
      </c>
      <c r="K25" s="10">
        <v>24</v>
      </c>
      <c r="L25" s="11">
        <v>24</v>
      </c>
      <c r="M25" s="57">
        <v>45.39</v>
      </c>
      <c r="N25" s="57"/>
      <c r="O25" s="57"/>
      <c r="P25" s="54">
        <v>0</v>
      </c>
      <c r="Q25" s="13">
        <v>0</v>
      </c>
      <c r="R25" s="14">
        <v>0</v>
      </c>
      <c r="S25" s="93">
        <f t="shared" si="0"/>
        <v>45.39</v>
      </c>
      <c r="T25" s="15"/>
      <c r="U25" s="15"/>
      <c r="V25" s="15"/>
      <c r="W25" s="15"/>
    </row>
    <row r="26" spans="2:23" s="16" customFormat="1" ht="12.75">
      <c r="B26" s="94">
        <v>23</v>
      </c>
      <c r="C26" s="55" t="s">
        <v>447</v>
      </c>
      <c r="D26" s="168" t="s">
        <v>467</v>
      </c>
      <c r="E26" s="230" t="s">
        <v>572</v>
      </c>
      <c r="F26" s="194" t="s">
        <v>468</v>
      </c>
      <c r="G26" s="163" t="s">
        <v>479</v>
      </c>
      <c r="H26" s="9" t="str">
        <f t="shared" si="1"/>
        <v>PARTICIPAÇÃO NO 8º SIMPÓSIO DO SIADS</v>
      </c>
      <c r="I26" s="9" t="s">
        <v>65</v>
      </c>
      <c r="J26" s="17">
        <v>43678</v>
      </c>
      <c r="K26" s="10">
        <v>11</v>
      </c>
      <c r="L26" s="11">
        <v>12</v>
      </c>
      <c r="M26" s="57">
        <v>43.31</v>
      </c>
      <c r="N26" s="57">
        <v>190.32</v>
      </c>
      <c r="O26" s="57"/>
      <c r="P26" s="54">
        <v>0</v>
      </c>
      <c r="Q26" s="13">
        <f>329.39+528.98</f>
        <v>858.37</v>
      </c>
      <c r="R26" s="313">
        <v>237.6</v>
      </c>
      <c r="S26" s="93">
        <f t="shared" si="0"/>
        <v>1329.6</v>
      </c>
      <c r="T26" s="15"/>
      <c r="U26" s="15"/>
      <c r="V26" s="15"/>
      <c r="W26" s="15"/>
    </row>
    <row r="27" spans="2:23" s="16" customFormat="1" ht="24">
      <c r="B27" s="94">
        <v>24</v>
      </c>
      <c r="C27" s="55" t="s">
        <v>558</v>
      </c>
      <c r="D27" s="10" t="s">
        <v>562</v>
      </c>
      <c r="E27" s="56" t="s">
        <v>573</v>
      </c>
      <c r="F27" s="237" t="s">
        <v>450</v>
      </c>
      <c r="G27" s="53" t="s">
        <v>583</v>
      </c>
      <c r="H27" s="9" t="str">
        <f t="shared" si="1"/>
        <v>PALESTRAR NO EVENTO LIDERANDO A TRANSFORMAÇÃO DA CULTURA</v>
      </c>
      <c r="I27" s="9" t="s">
        <v>587</v>
      </c>
      <c r="J27" s="17">
        <v>43647</v>
      </c>
      <c r="K27" s="10">
        <v>9</v>
      </c>
      <c r="L27" s="11">
        <v>13</v>
      </c>
      <c r="M27" s="57">
        <v>0</v>
      </c>
      <c r="N27" s="57">
        <v>0</v>
      </c>
      <c r="O27" s="57"/>
      <c r="P27" s="54">
        <v>0</v>
      </c>
      <c r="Q27" s="13">
        <v>6438.18</v>
      </c>
      <c r="R27" s="14">
        <v>0</v>
      </c>
      <c r="S27" s="93">
        <f t="shared" si="0"/>
        <v>6438.18</v>
      </c>
      <c r="T27" s="15"/>
      <c r="U27" s="15"/>
      <c r="V27" s="15"/>
      <c r="W27" s="15"/>
    </row>
    <row r="28" spans="2:23" s="16" customFormat="1" ht="67.5">
      <c r="B28" s="94">
        <v>25</v>
      </c>
      <c r="C28" s="55" t="s">
        <v>559</v>
      </c>
      <c r="D28" s="10" t="s">
        <v>563</v>
      </c>
      <c r="E28" s="230" t="s">
        <v>574</v>
      </c>
      <c r="F28" s="237" t="s">
        <v>137</v>
      </c>
      <c r="G28" s="53" t="s">
        <v>584</v>
      </c>
      <c r="H28" s="9" t="str">
        <f t="shared" si="1"/>
        <v>REPRESENTAR A INSTITUIÇÃO COMO COORDENADORA DO CURSO DE MESTRADO PROFISSIONAL EM PESQUISA CLÍNICA, NO SEMINÁRIO DE MEIO TERMO DOS PROGRAMAS DE PÓS-GRADUAÇÃO DA ÁREA DE MEDICINA I, SERÁ REALIZADO NA CAPES</v>
      </c>
      <c r="I28" s="9" t="s">
        <v>65</v>
      </c>
      <c r="J28" s="17">
        <v>43678</v>
      </c>
      <c r="K28" s="10">
        <v>19</v>
      </c>
      <c r="L28" s="11">
        <v>21</v>
      </c>
      <c r="M28" s="57">
        <v>0</v>
      </c>
      <c r="N28" s="57">
        <v>0</v>
      </c>
      <c r="O28" s="57"/>
      <c r="P28" s="54">
        <f>15+50</f>
        <v>65</v>
      </c>
      <c r="Q28" s="13">
        <v>900.37</v>
      </c>
      <c r="R28" s="313">
        <v>625.6</v>
      </c>
      <c r="S28" s="93">
        <f t="shared" si="0"/>
        <v>1590.97</v>
      </c>
      <c r="T28" s="15"/>
      <c r="U28" s="15"/>
      <c r="V28" s="15"/>
      <c r="W28" s="15"/>
    </row>
    <row r="29" spans="2:23" s="16" customFormat="1" ht="22.5">
      <c r="B29" s="94">
        <v>26</v>
      </c>
      <c r="C29" s="55" t="s">
        <v>560</v>
      </c>
      <c r="D29" s="10" t="s">
        <v>564</v>
      </c>
      <c r="E29" s="230" t="s">
        <v>575</v>
      </c>
      <c r="F29" s="237" t="s">
        <v>579</v>
      </c>
      <c r="G29" s="53" t="s">
        <v>585</v>
      </c>
      <c r="H29" s="9" t="str">
        <f t="shared" si="1"/>
        <v>AUDIÊNCIA NA 6ª VARA CÍVEL ESPECIALIZADA EM FAZENDA PÚBLICA - PODER JUDICIÁRIO. </v>
      </c>
      <c r="I29" s="9" t="s">
        <v>114</v>
      </c>
      <c r="J29" s="17">
        <v>43617</v>
      </c>
      <c r="K29" s="10">
        <v>25</v>
      </c>
      <c r="L29" s="11">
        <v>26</v>
      </c>
      <c r="M29" s="57">
        <f>193.8+20</f>
        <v>213.8</v>
      </c>
      <c r="N29" s="57"/>
      <c r="O29" s="57"/>
      <c r="P29" s="54"/>
      <c r="Q29" s="13">
        <v>0</v>
      </c>
      <c r="R29" s="14">
        <v>216</v>
      </c>
      <c r="S29" s="93">
        <f t="shared" si="0"/>
        <v>429.8</v>
      </c>
      <c r="T29" s="15"/>
      <c r="U29" s="15"/>
      <c r="V29" s="15"/>
      <c r="W29" s="15"/>
    </row>
    <row r="30" spans="2:23" s="16" customFormat="1" ht="23.25" thickBot="1">
      <c r="B30" s="95">
        <v>27</v>
      </c>
      <c r="C30" s="96" t="s">
        <v>561</v>
      </c>
      <c r="D30" s="100" t="s">
        <v>565</v>
      </c>
      <c r="E30" s="246" t="s">
        <v>576</v>
      </c>
      <c r="F30" s="306" t="s">
        <v>580</v>
      </c>
      <c r="G30" s="183" t="s">
        <v>586</v>
      </c>
      <c r="H30" s="98" t="str">
        <f t="shared" si="1"/>
        <v>AUDIÊNCIA JUDICIAL PROCESSO 90060546820188210022, DE INTERESSE DO HCPA</v>
      </c>
      <c r="I30" s="98" t="s">
        <v>114</v>
      </c>
      <c r="J30" s="99">
        <v>43617</v>
      </c>
      <c r="K30" s="100">
        <v>25</v>
      </c>
      <c r="L30" s="101">
        <v>26</v>
      </c>
      <c r="M30" s="125">
        <v>265.8</v>
      </c>
      <c r="N30" s="125"/>
      <c r="O30" s="125"/>
      <c r="P30" s="102"/>
      <c r="Q30" s="103">
        <v>0</v>
      </c>
      <c r="R30" s="104">
        <f>216+4.24</f>
        <v>220.24</v>
      </c>
      <c r="S30" s="105">
        <f t="shared" si="0"/>
        <v>486.04</v>
      </c>
      <c r="T30" s="15"/>
      <c r="U30" s="15"/>
      <c r="V30" s="15"/>
      <c r="W30" s="15"/>
    </row>
    <row r="31" spans="2:23" s="15" customFormat="1" ht="12.75" thickBot="1">
      <c r="B31" s="19"/>
      <c r="C31" s="20"/>
      <c r="D31" s="21"/>
      <c r="E31" s="21"/>
      <c r="F31" s="21"/>
      <c r="G31" s="21"/>
      <c r="H31" s="21"/>
      <c r="I31" s="21"/>
      <c r="J31" s="22"/>
      <c r="K31" s="23"/>
      <c r="L31" s="24"/>
      <c r="M31" s="25"/>
      <c r="N31" s="25"/>
      <c r="O31" s="25"/>
      <c r="P31" s="26"/>
      <c r="Q31" s="27"/>
      <c r="R31" s="28"/>
      <c r="S31" s="29"/>
    </row>
    <row r="32" spans="2:23" s="30" customFormat="1" ht="16.5" thickBot="1">
      <c r="B32" s="284" t="s">
        <v>31</v>
      </c>
      <c r="C32" s="31"/>
      <c r="D32" s="147" t="s">
        <v>41</v>
      </c>
      <c r="E32" s="184"/>
      <c r="F32" s="31"/>
      <c r="G32" s="31"/>
      <c r="H32" s="31"/>
      <c r="I32" s="33"/>
      <c r="J32" s="31"/>
      <c r="K32" s="19"/>
      <c r="L32" s="32"/>
      <c r="M32" s="35">
        <f t="shared" ref="M32:R32" si="2">SUM(M4:M30)</f>
        <v>1270.29</v>
      </c>
      <c r="N32" s="35">
        <f t="shared" si="2"/>
        <v>1710.7</v>
      </c>
      <c r="O32" s="35">
        <f t="shared" si="2"/>
        <v>0</v>
      </c>
      <c r="P32" s="120">
        <f t="shared" si="2"/>
        <v>1008.86</v>
      </c>
      <c r="Q32" s="37">
        <f t="shared" si="2"/>
        <v>43271.240000000005</v>
      </c>
      <c r="R32" s="38">
        <f t="shared" si="2"/>
        <v>5749.3700000000008</v>
      </c>
      <c r="S32" s="36">
        <f>SUM(S4:S30)+P33</f>
        <v>53020.548599999995</v>
      </c>
    </row>
    <row r="33" spans="3:19" s="39" customFormat="1" ht="23.25" thickBot="1">
      <c r="C33" s="147" t="s">
        <v>41</v>
      </c>
      <c r="D33" s="358"/>
      <c r="E33" s="358"/>
      <c r="F33" s="358"/>
      <c r="G33" s="358"/>
      <c r="H33" s="358"/>
      <c r="I33" s="358"/>
      <c r="J33" s="358"/>
      <c r="K33" s="358"/>
      <c r="L33" s="41"/>
      <c r="M33" s="42"/>
      <c r="N33" s="42"/>
      <c r="O33" s="87" t="s">
        <v>31</v>
      </c>
      <c r="P33" s="26">
        <f>P32*1%</f>
        <v>10.0886</v>
      </c>
      <c r="S33" s="43"/>
    </row>
    <row r="34" spans="3:19" s="39" customFormat="1" ht="16.5" thickBot="1">
      <c r="C34" s="40"/>
      <c r="D34" s="40"/>
      <c r="E34" s="40"/>
      <c r="F34" s="40"/>
      <c r="G34" s="40"/>
      <c r="H34" s="40"/>
      <c r="I34" s="44"/>
      <c r="J34" s="40"/>
      <c r="K34" s="40"/>
      <c r="L34" s="41"/>
      <c r="M34" s="42"/>
      <c r="N34" s="42"/>
      <c r="O34" s="42"/>
      <c r="P34" s="89">
        <f>P32+P33</f>
        <v>1018.9486000000001</v>
      </c>
      <c r="Q34" s="45"/>
      <c r="R34" s="43"/>
      <c r="S34" s="46" t="s">
        <v>8</v>
      </c>
    </row>
    <row r="35" spans="3:19" s="39" customFormat="1">
      <c r="C35" s="184"/>
      <c r="D35" s="359"/>
      <c r="E35" s="359"/>
      <c r="F35" s="359"/>
      <c r="G35" s="359"/>
      <c r="H35" s="359"/>
      <c r="I35" s="359"/>
      <c r="J35" s="359"/>
      <c r="K35" s="359"/>
      <c r="L35" s="41"/>
      <c r="M35" s="42"/>
      <c r="N35" s="42"/>
      <c r="O35" s="42"/>
      <c r="P35" s="26"/>
      <c r="Q35" s="5" t="s">
        <v>7</v>
      </c>
      <c r="R35" s="138">
        <f>M32+N32+O32+P34+Q32+R32</f>
        <v>53020.548600000009</v>
      </c>
      <c r="S35" s="47">
        <f>S32-R35</f>
        <v>0</v>
      </c>
    </row>
    <row r="36" spans="3:19" ht="15.75">
      <c r="C36" s="48"/>
      <c r="D36" s="49"/>
      <c r="E36" s="49"/>
      <c r="F36" s="49"/>
      <c r="G36" s="49"/>
      <c r="H36" s="49"/>
      <c r="I36" s="50"/>
      <c r="J36" s="51"/>
      <c r="K36" s="51"/>
      <c r="L36" s="51"/>
      <c r="O36" s="87" t="s">
        <v>31</v>
      </c>
      <c r="P36" s="26" t="s">
        <v>32</v>
      </c>
    </row>
    <row r="37" spans="3:19">
      <c r="C37" s="48"/>
      <c r="D37" s="49"/>
      <c r="E37" s="49"/>
      <c r="F37" s="49"/>
      <c r="G37" s="49"/>
      <c r="H37" s="49"/>
      <c r="I37" s="50"/>
      <c r="J37" s="51"/>
      <c r="K37" s="51"/>
      <c r="L37" s="51"/>
      <c r="P37" s="26"/>
    </row>
    <row r="38" spans="3:19">
      <c r="C38" s="48"/>
      <c r="D38" s="49"/>
      <c r="E38" s="49"/>
      <c r="F38" s="49"/>
      <c r="G38" s="49"/>
      <c r="H38" s="49"/>
      <c r="I38" s="50"/>
      <c r="J38" s="51"/>
      <c r="K38" s="51"/>
      <c r="L38" s="51"/>
      <c r="P38" s="26"/>
    </row>
    <row r="39" spans="3:19">
      <c r="C39" s="48"/>
      <c r="D39" s="49"/>
      <c r="E39" s="49"/>
      <c r="F39" s="49"/>
      <c r="G39" s="49"/>
      <c r="H39" s="49"/>
      <c r="I39" s="50"/>
      <c r="J39" s="51"/>
      <c r="K39" s="51"/>
      <c r="L39" s="51"/>
      <c r="P39" s="26"/>
    </row>
    <row r="40" spans="3:19">
      <c r="C40" s="48"/>
      <c r="D40" s="49"/>
      <c r="E40" s="49"/>
      <c r="F40" s="49"/>
      <c r="G40" s="49"/>
      <c r="H40" s="49"/>
      <c r="I40" s="50"/>
      <c r="J40" s="51"/>
      <c r="K40" s="51"/>
      <c r="L40" s="51"/>
      <c r="P40" s="26"/>
    </row>
    <row r="41" spans="3:19">
      <c r="C41" s="48"/>
      <c r="D41" s="49"/>
      <c r="E41" s="49"/>
      <c r="F41" s="49"/>
      <c r="G41" s="49"/>
      <c r="H41" s="49"/>
      <c r="I41" s="50"/>
      <c r="J41" s="51"/>
      <c r="K41" s="51"/>
      <c r="L41" s="51"/>
      <c r="P41" s="26"/>
      <c r="Q41"/>
      <c r="R41"/>
      <c r="S41"/>
    </row>
    <row r="42" spans="3:19">
      <c r="C42" s="48"/>
      <c r="D42" s="49"/>
      <c r="E42" s="49"/>
      <c r="F42" s="49"/>
      <c r="G42" s="49"/>
      <c r="H42" s="49"/>
      <c r="I42" s="50"/>
      <c r="J42" s="51"/>
      <c r="K42" s="51"/>
      <c r="L42" s="51"/>
      <c r="P42" s="26"/>
      <c r="Q42"/>
      <c r="R42"/>
      <c r="S42"/>
    </row>
    <row r="43" spans="3:19">
      <c r="C43" s="48"/>
      <c r="I43" s="50"/>
      <c r="J43" s="51"/>
      <c r="K43" s="51"/>
      <c r="L43" s="51"/>
      <c r="P43" s="26"/>
      <c r="Q43"/>
      <c r="R43"/>
      <c r="S43"/>
    </row>
    <row r="44" spans="3:19">
      <c r="C44" s="48"/>
      <c r="D44" s="49"/>
      <c r="E44" s="49"/>
      <c r="F44" s="49"/>
      <c r="G44" s="49"/>
      <c r="H44" s="49"/>
      <c r="I44" s="50"/>
      <c r="J44" s="51"/>
      <c r="K44" s="51"/>
      <c r="L44" s="51"/>
      <c r="P44" s="26"/>
      <c r="Q44"/>
      <c r="R44"/>
      <c r="S44"/>
    </row>
    <row r="45" spans="3:19">
      <c r="C45" s="48"/>
      <c r="D45" s="49"/>
      <c r="E45" s="49"/>
      <c r="F45" s="49"/>
      <c r="G45" s="49"/>
      <c r="H45" s="49"/>
      <c r="I45" s="50"/>
      <c r="J45" s="51"/>
      <c r="K45" s="51"/>
      <c r="L45" s="51"/>
      <c r="P45" s="52"/>
      <c r="Q45"/>
      <c r="R45"/>
      <c r="S45"/>
    </row>
    <row r="46" spans="3:19" ht="15.75">
      <c r="C46" s="48"/>
      <c r="D46" s="49"/>
      <c r="E46" s="49"/>
      <c r="F46" s="49"/>
      <c r="G46" s="49"/>
      <c r="H46" s="49"/>
      <c r="I46" s="50"/>
      <c r="J46" s="51"/>
      <c r="K46" s="51"/>
      <c r="L46" s="51"/>
      <c r="P46" s="39"/>
      <c r="Q46"/>
      <c r="R46"/>
      <c r="S46"/>
    </row>
    <row r="47" spans="3:19" ht="15.75">
      <c r="C47" s="48"/>
      <c r="D47" s="49"/>
      <c r="E47" s="49"/>
      <c r="F47" s="49"/>
      <c r="G47" s="49"/>
      <c r="H47" s="49"/>
      <c r="I47" s="50"/>
      <c r="J47" s="51"/>
      <c r="K47" s="51"/>
      <c r="L47" s="51"/>
      <c r="P47" s="39"/>
      <c r="Q47"/>
      <c r="R47"/>
      <c r="S47"/>
    </row>
    <row r="48" spans="3:19" ht="15.75">
      <c r="C48" s="48"/>
      <c r="D48" s="49"/>
      <c r="E48" s="49"/>
      <c r="F48" s="49"/>
      <c r="G48" s="49"/>
      <c r="H48" s="49"/>
      <c r="I48" s="50"/>
      <c r="J48" s="51"/>
      <c r="K48" s="51"/>
      <c r="L48" s="51"/>
      <c r="P48" s="39"/>
      <c r="Q48"/>
      <c r="R48"/>
      <c r="S48"/>
    </row>
    <row r="49" spans="3:19">
      <c r="C49" s="48"/>
      <c r="D49" s="49"/>
      <c r="E49" s="49"/>
      <c r="F49" s="49"/>
      <c r="G49" s="49"/>
      <c r="H49" s="49"/>
      <c r="I49" s="50"/>
      <c r="J49" s="51"/>
      <c r="K49" s="51"/>
      <c r="L49" s="51"/>
      <c r="Q49"/>
      <c r="R49"/>
      <c r="S49"/>
    </row>
    <row r="50" spans="3:19">
      <c r="C50" s="48"/>
      <c r="D50" s="49"/>
      <c r="E50" s="49"/>
      <c r="F50" s="49"/>
      <c r="G50" s="49"/>
      <c r="H50" s="49"/>
      <c r="I50" s="50"/>
      <c r="J50" s="51"/>
      <c r="K50" s="51"/>
      <c r="L50" s="51"/>
      <c r="Q50"/>
      <c r="R50"/>
      <c r="S50"/>
    </row>
    <row r="51" spans="3:19">
      <c r="C51" s="48"/>
      <c r="D51" s="49"/>
      <c r="E51" s="49"/>
      <c r="F51" s="49"/>
      <c r="G51" s="49"/>
      <c r="H51" s="49"/>
      <c r="I51" s="50"/>
      <c r="J51" s="51"/>
      <c r="K51" s="51"/>
      <c r="L51" s="51"/>
      <c r="Q51"/>
      <c r="R51"/>
      <c r="S51"/>
    </row>
    <row r="52" spans="3:19">
      <c r="C52" s="48"/>
      <c r="D52" s="49"/>
      <c r="E52" s="49"/>
      <c r="F52" s="49"/>
      <c r="G52" s="49"/>
      <c r="H52" s="49"/>
      <c r="I52" s="50"/>
      <c r="J52" s="51"/>
      <c r="K52" s="51"/>
      <c r="L52" s="51"/>
      <c r="Q52"/>
      <c r="R52"/>
      <c r="S52"/>
    </row>
    <row r="53" spans="3:19">
      <c r="C53" s="48"/>
      <c r="D53" s="49"/>
      <c r="E53" s="49"/>
      <c r="F53" s="49"/>
      <c r="G53" s="49"/>
      <c r="H53" s="49"/>
      <c r="I53" s="50"/>
      <c r="J53" s="51"/>
      <c r="K53" s="51"/>
      <c r="L53" s="51"/>
      <c r="Q53"/>
      <c r="R53"/>
      <c r="S53"/>
    </row>
    <row r="54" spans="3:19">
      <c r="C54" s="48"/>
      <c r="D54" s="49"/>
      <c r="E54" s="49"/>
      <c r="F54" s="49"/>
      <c r="G54" s="49"/>
      <c r="H54" s="49"/>
      <c r="I54" s="50"/>
      <c r="J54" s="51"/>
      <c r="K54" s="51"/>
      <c r="L54" s="51"/>
      <c r="Q54"/>
      <c r="R54"/>
      <c r="S54"/>
    </row>
    <row r="55" spans="3:19">
      <c r="C55" s="48"/>
      <c r="D55" s="49"/>
      <c r="E55" s="49"/>
      <c r="F55" s="49"/>
      <c r="G55" s="49"/>
      <c r="H55" s="49"/>
      <c r="I55" s="50"/>
      <c r="J55" s="51"/>
      <c r="K55" s="51"/>
      <c r="L55" s="51"/>
      <c r="Q55"/>
      <c r="R55"/>
      <c r="S55"/>
    </row>
    <row r="56" spans="3:19">
      <c r="C56" s="48"/>
      <c r="D56" s="49"/>
      <c r="E56" s="49"/>
      <c r="F56" s="49"/>
      <c r="G56" s="49"/>
      <c r="H56" s="49"/>
      <c r="I56" s="50"/>
      <c r="J56" s="51"/>
      <c r="K56" s="51"/>
      <c r="L56" s="51"/>
      <c r="Q56"/>
      <c r="R56"/>
      <c r="S56"/>
    </row>
    <row r="57" spans="3:19">
      <c r="C57" s="48"/>
      <c r="D57" s="49"/>
      <c r="E57" s="49"/>
      <c r="F57" s="49"/>
      <c r="G57" s="49"/>
      <c r="H57" s="49"/>
      <c r="I57" s="50"/>
      <c r="J57" s="51"/>
      <c r="K57" s="51"/>
      <c r="L57" s="51"/>
      <c r="M57"/>
      <c r="N57"/>
      <c r="O57"/>
      <c r="Q57"/>
      <c r="R57"/>
      <c r="S57"/>
    </row>
    <row r="58" spans="3:19">
      <c r="C58" s="48"/>
      <c r="D58" s="49"/>
      <c r="E58" s="49"/>
      <c r="F58" s="49"/>
      <c r="G58" s="49"/>
      <c r="H58" s="49"/>
      <c r="I58" s="50"/>
      <c r="J58" s="51"/>
      <c r="K58" s="51"/>
      <c r="L58" s="51"/>
      <c r="M58"/>
      <c r="N58"/>
      <c r="O58"/>
      <c r="Q58"/>
      <c r="R58"/>
      <c r="S58"/>
    </row>
    <row r="59" spans="3:19">
      <c r="C59" s="48"/>
      <c r="D59" s="49"/>
      <c r="E59" s="49"/>
      <c r="F59" s="49"/>
      <c r="G59" s="49"/>
      <c r="H59" s="49"/>
      <c r="I59" s="50"/>
      <c r="J59" s="51"/>
      <c r="K59" s="51"/>
      <c r="L59" s="51"/>
      <c r="M59"/>
      <c r="N59"/>
      <c r="O59"/>
      <c r="Q59"/>
      <c r="R59"/>
      <c r="S59"/>
    </row>
    <row r="60" spans="3:19">
      <c r="C60" s="48"/>
      <c r="D60" s="49"/>
      <c r="E60" s="49"/>
      <c r="F60" s="49"/>
      <c r="G60" s="49"/>
      <c r="H60" s="49"/>
      <c r="I60" s="50"/>
      <c r="J60" s="51"/>
      <c r="K60" s="51"/>
      <c r="L60" s="51"/>
      <c r="M60"/>
      <c r="N60"/>
      <c r="O60"/>
      <c r="Q60"/>
      <c r="R60"/>
      <c r="S60"/>
    </row>
    <row r="61" spans="3:19">
      <c r="C61" s="48"/>
      <c r="D61" s="49"/>
      <c r="E61" s="49"/>
      <c r="F61" s="49"/>
      <c r="G61" s="49"/>
      <c r="H61" s="49"/>
      <c r="I61" s="50"/>
      <c r="J61" s="51"/>
      <c r="K61" s="51"/>
      <c r="L61" s="51"/>
      <c r="M61"/>
      <c r="N61"/>
      <c r="O61"/>
      <c r="Q61"/>
      <c r="R61"/>
      <c r="S61"/>
    </row>
    <row r="62" spans="3:19">
      <c r="C62" s="48"/>
      <c r="D62" s="49"/>
      <c r="E62" s="49"/>
      <c r="F62" s="49"/>
      <c r="G62" s="49"/>
      <c r="H62" s="49"/>
      <c r="I62" s="50"/>
      <c r="J62" s="51"/>
      <c r="K62" s="51"/>
      <c r="L62" s="51"/>
      <c r="M62"/>
      <c r="N62"/>
      <c r="O62"/>
      <c r="Q62"/>
      <c r="R62"/>
      <c r="S62"/>
    </row>
    <row r="63" spans="3:19">
      <c r="C63" s="48"/>
      <c r="D63" s="49"/>
      <c r="E63" s="49"/>
      <c r="F63" s="49"/>
      <c r="G63" s="49"/>
      <c r="H63" s="49"/>
      <c r="I63" s="50"/>
      <c r="J63" s="51"/>
      <c r="K63" s="51"/>
      <c r="L63" s="51"/>
      <c r="M63"/>
      <c r="N63"/>
      <c r="O63"/>
      <c r="Q63"/>
      <c r="R63"/>
      <c r="S63"/>
    </row>
    <row r="64" spans="3:19">
      <c r="C64" s="48"/>
      <c r="D64" s="49"/>
      <c r="E64" s="49"/>
      <c r="F64" s="49"/>
      <c r="G64" s="49"/>
      <c r="H64" s="49"/>
      <c r="I64" s="50"/>
      <c r="J64" s="51"/>
      <c r="K64" s="51"/>
      <c r="L64" s="51"/>
      <c r="M64"/>
      <c r="N64"/>
      <c r="O64"/>
      <c r="Q64"/>
      <c r="R64"/>
      <c r="S64"/>
    </row>
    <row r="65" spans="3:19">
      <c r="C65" s="48"/>
      <c r="D65" s="49"/>
      <c r="E65" s="49"/>
      <c r="F65" s="49"/>
      <c r="G65" s="49"/>
      <c r="H65" s="49"/>
      <c r="I65" s="50"/>
      <c r="J65" s="51"/>
      <c r="K65" s="51"/>
      <c r="L65" s="51"/>
      <c r="M65"/>
      <c r="N65"/>
      <c r="O65"/>
      <c r="Q65"/>
      <c r="R65"/>
      <c r="S65"/>
    </row>
    <row r="66" spans="3:19">
      <c r="C66" s="48"/>
      <c r="D66" s="49"/>
      <c r="E66" s="49"/>
      <c r="F66" s="49"/>
      <c r="G66" s="49"/>
      <c r="H66" s="49"/>
      <c r="I66" s="50"/>
      <c r="J66" s="51"/>
      <c r="K66" s="51"/>
      <c r="L66" s="51"/>
      <c r="M66"/>
      <c r="N66"/>
      <c r="O66"/>
      <c r="Q66"/>
      <c r="R66"/>
      <c r="S66"/>
    </row>
    <row r="67" spans="3:19">
      <c r="C67" s="48"/>
      <c r="D67" s="49"/>
      <c r="E67" s="49"/>
      <c r="F67" s="49"/>
      <c r="G67" s="49"/>
      <c r="H67" s="49"/>
      <c r="I67" s="50"/>
      <c r="J67" s="51"/>
      <c r="K67" s="51"/>
      <c r="L67" s="51"/>
      <c r="M67"/>
      <c r="N67"/>
      <c r="O67"/>
      <c r="Q67"/>
      <c r="R67"/>
      <c r="S67"/>
    </row>
    <row r="68" spans="3:19">
      <c r="C68" s="48"/>
      <c r="D68" s="49"/>
      <c r="E68" s="49"/>
      <c r="F68" s="49"/>
      <c r="G68" s="49"/>
      <c r="H68" s="49"/>
      <c r="I68" s="50"/>
      <c r="J68" s="51"/>
      <c r="K68" s="51"/>
      <c r="L68" s="51"/>
      <c r="M68"/>
      <c r="N68"/>
      <c r="O68"/>
      <c r="Q68"/>
      <c r="R68"/>
      <c r="S68"/>
    </row>
    <row r="69" spans="3:19">
      <c r="C69" s="48"/>
      <c r="D69" s="49"/>
      <c r="E69" s="49"/>
      <c r="F69" s="49"/>
      <c r="G69" s="49"/>
      <c r="H69" s="49"/>
      <c r="I69" s="50"/>
      <c r="J69" s="51"/>
      <c r="K69" s="51"/>
      <c r="L69" s="51"/>
      <c r="M69"/>
      <c r="N69"/>
      <c r="O69"/>
      <c r="Q69"/>
      <c r="R69"/>
      <c r="S69"/>
    </row>
    <row r="70" spans="3:19">
      <c r="C70" s="48"/>
      <c r="D70" s="49"/>
      <c r="E70" s="49"/>
      <c r="F70" s="49"/>
      <c r="G70" s="49"/>
      <c r="H70" s="49"/>
      <c r="I70" s="50"/>
      <c r="J70" s="51"/>
      <c r="K70" s="51"/>
      <c r="L70" s="51"/>
      <c r="M70"/>
      <c r="N70"/>
      <c r="O70"/>
      <c r="Q70"/>
      <c r="R70"/>
      <c r="S70"/>
    </row>
    <row r="71" spans="3:19">
      <c r="C71" s="48"/>
      <c r="D71" s="49"/>
      <c r="E71" s="49"/>
      <c r="F71" s="49"/>
      <c r="G71" s="49"/>
      <c r="H71" s="49"/>
      <c r="I71" s="50"/>
      <c r="J71" s="51"/>
      <c r="K71" s="51"/>
      <c r="L71" s="51"/>
      <c r="M71"/>
      <c r="N71"/>
      <c r="O71"/>
      <c r="Q71"/>
      <c r="R71"/>
      <c r="S71"/>
    </row>
    <row r="72" spans="3:19">
      <c r="C72" s="48"/>
      <c r="D72" s="49"/>
      <c r="E72" s="49"/>
      <c r="F72" s="49"/>
      <c r="G72" s="49"/>
      <c r="H72" s="49"/>
      <c r="I72" s="50"/>
      <c r="J72" s="51"/>
      <c r="K72" s="51"/>
      <c r="L72" s="51"/>
      <c r="M72"/>
      <c r="N72"/>
      <c r="O72"/>
      <c r="Q72"/>
      <c r="R72"/>
      <c r="S72"/>
    </row>
    <row r="73" spans="3:19">
      <c r="C73" s="48"/>
      <c r="D73" s="49"/>
      <c r="E73" s="49"/>
      <c r="F73" s="49"/>
      <c r="G73" s="49"/>
      <c r="H73" s="49"/>
      <c r="I73" s="50"/>
      <c r="J73" s="51"/>
      <c r="K73" s="51"/>
      <c r="L73" s="51"/>
      <c r="M73"/>
      <c r="N73"/>
      <c r="O73"/>
      <c r="Q73"/>
      <c r="R73"/>
      <c r="S73"/>
    </row>
    <row r="74" spans="3:19">
      <c r="C74" s="48"/>
      <c r="D74" s="49"/>
      <c r="E74" s="49"/>
      <c r="F74" s="49"/>
      <c r="G74" s="49"/>
      <c r="H74" s="49"/>
      <c r="I74" s="50"/>
      <c r="J74" s="51"/>
      <c r="K74" s="51"/>
      <c r="L74" s="51"/>
      <c r="M74"/>
      <c r="N74"/>
      <c r="O74"/>
      <c r="Q74"/>
      <c r="R74"/>
      <c r="S74"/>
    </row>
    <row r="75" spans="3:19">
      <c r="C75" s="48"/>
      <c r="D75" s="49"/>
      <c r="E75" s="49"/>
      <c r="F75" s="49"/>
      <c r="G75" s="49"/>
      <c r="H75" s="49"/>
      <c r="I75" s="50"/>
      <c r="J75" s="51"/>
      <c r="K75" s="51"/>
      <c r="L75" s="51"/>
      <c r="M75"/>
      <c r="N75"/>
      <c r="O75"/>
      <c r="Q75"/>
      <c r="R75"/>
      <c r="S75"/>
    </row>
    <row r="76" spans="3:19">
      <c r="C76" s="48"/>
      <c r="D76" s="49"/>
      <c r="E76" s="49"/>
      <c r="F76" s="49"/>
      <c r="G76" s="49"/>
      <c r="H76" s="49"/>
      <c r="I76" s="50"/>
      <c r="J76" s="51"/>
      <c r="K76" s="51"/>
      <c r="L76" s="51"/>
      <c r="M76"/>
      <c r="N76"/>
      <c r="O76"/>
      <c r="Q76"/>
      <c r="R76"/>
      <c r="S76"/>
    </row>
    <row r="77" spans="3:19">
      <c r="C77" s="48"/>
      <c r="D77" s="49"/>
      <c r="E77" s="49"/>
      <c r="F77" s="49"/>
      <c r="G77" s="49"/>
      <c r="H77" s="49"/>
      <c r="I77" s="50"/>
      <c r="J77" s="51"/>
      <c r="K77" s="51"/>
      <c r="L77" s="51"/>
      <c r="M77"/>
      <c r="N77"/>
      <c r="O77"/>
      <c r="Q77"/>
      <c r="R77"/>
      <c r="S77"/>
    </row>
    <row r="78" spans="3:19">
      <c r="C78" s="48"/>
      <c r="D78" s="49"/>
      <c r="E78" s="49"/>
      <c r="F78" s="49"/>
      <c r="G78" s="49"/>
      <c r="H78" s="49"/>
      <c r="I78" s="50"/>
      <c r="J78" s="51"/>
      <c r="K78" s="51"/>
      <c r="L78" s="51"/>
      <c r="M78"/>
      <c r="N78"/>
      <c r="O78"/>
      <c r="Q78"/>
      <c r="R78"/>
      <c r="S78"/>
    </row>
    <row r="79" spans="3:19">
      <c r="C79" s="48"/>
      <c r="D79" s="49"/>
      <c r="E79" s="49"/>
      <c r="F79" s="49"/>
      <c r="G79" s="49"/>
      <c r="H79" s="49"/>
      <c r="I79" s="50"/>
      <c r="J79" s="51"/>
      <c r="K79" s="51"/>
      <c r="L79" s="51"/>
      <c r="M79"/>
      <c r="N79"/>
      <c r="O79"/>
      <c r="Q79"/>
      <c r="R79"/>
      <c r="S79"/>
    </row>
    <row r="80" spans="3:19">
      <c r="C80" s="48"/>
      <c r="D80" s="49"/>
      <c r="E80" s="49"/>
      <c r="F80" s="49"/>
      <c r="G80" s="49"/>
      <c r="H80" s="49"/>
      <c r="I80" s="50"/>
      <c r="J80" s="51"/>
      <c r="K80" s="51"/>
      <c r="L80" s="51"/>
      <c r="M80"/>
      <c r="N80"/>
      <c r="O80"/>
      <c r="Q80"/>
      <c r="R80"/>
      <c r="S80"/>
    </row>
    <row r="81" spans="3:19">
      <c r="C81" s="48"/>
      <c r="D81" s="49"/>
      <c r="E81" s="49"/>
      <c r="F81" s="49"/>
      <c r="G81" s="49"/>
      <c r="H81" s="49"/>
      <c r="I81" s="50"/>
      <c r="J81" s="51"/>
      <c r="K81" s="51"/>
      <c r="L81" s="51"/>
      <c r="M81"/>
      <c r="N81"/>
      <c r="O81"/>
      <c r="Q81"/>
      <c r="R81"/>
      <c r="S81"/>
    </row>
    <row r="82" spans="3:19">
      <c r="C82" s="48"/>
      <c r="D82" s="49"/>
      <c r="E82" s="49"/>
      <c r="F82" s="49"/>
      <c r="G82" s="49"/>
      <c r="H82" s="49"/>
      <c r="I82" s="50"/>
      <c r="J82" s="51"/>
      <c r="K82" s="51"/>
      <c r="L82" s="51"/>
      <c r="M82"/>
      <c r="N82"/>
      <c r="O82"/>
      <c r="Q82"/>
      <c r="R82"/>
      <c r="S82"/>
    </row>
    <row r="83" spans="3:19">
      <c r="C83" s="48"/>
      <c r="D83" s="49"/>
      <c r="E83" s="49"/>
      <c r="F83" s="49"/>
      <c r="G83" s="49"/>
      <c r="H83" s="49"/>
      <c r="I83" s="50"/>
      <c r="J83" s="51"/>
      <c r="K83" s="51"/>
      <c r="L83" s="51"/>
      <c r="M83"/>
      <c r="N83"/>
      <c r="O83"/>
      <c r="Q83"/>
      <c r="R83"/>
      <c r="S83"/>
    </row>
    <row r="84" spans="3:19">
      <c r="C84" s="48"/>
      <c r="D84" s="49"/>
      <c r="E84" s="49"/>
      <c r="F84" s="49"/>
      <c r="G84" s="49"/>
      <c r="H84" s="49"/>
      <c r="I84" s="50"/>
      <c r="J84" s="51"/>
      <c r="K84" s="51"/>
      <c r="L84" s="51"/>
      <c r="M84"/>
      <c r="N84"/>
      <c r="O84"/>
      <c r="Q84"/>
      <c r="R84"/>
      <c r="S84"/>
    </row>
    <row r="85" spans="3:19">
      <c r="C85" s="48"/>
      <c r="D85" s="49"/>
      <c r="E85" s="49"/>
      <c r="F85" s="49"/>
      <c r="G85" s="49"/>
      <c r="H85" s="49"/>
      <c r="I85" s="50"/>
      <c r="J85" s="51"/>
      <c r="K85" s="51"/>
      <c r="L85" s="51"/>
      <c r="M85"/>
      <c r="N85"/>
      <c r="O85"/>
      <c r="Q85"/>
      <c r="R85"/>
      <c r="S85"/>
    </row>
    <row r="86" spans="3:19">
      <c r="C86" s="48"/>
      <c r="D86" s="49"/>
      <c r="E86" s="49"/>
      <c r="F86" s="49"/>
      <c r="G86" s="49"/>
      <c r="H86" s="49"/>
      <c r="I86" s="50"/>
      <c r="J86" s="51"/>
      <c r="K86" s="51"/>
      <c r="L86" s="51"/>
      <c r="M86"/>
      <c r="N86"/>
      <c r="O86"/>
      <c r="Q86"/>
      <c r="R86"/>
      <c r="S86"/>
    </row>
    <row r="87" spans="3:19">
      <c r="C87" s="48"/>
      <c r="D87" s="49"/>
      <c r="E87" s="49"/>
      <c r="F87" s="49"/>
      <c r="G87" s="49"/>
      <c r="H87" s="49"/>
      <c r="I87" s="50"/>
      <c r="J87" s="51"/>
      <c r="K87" s="51"/>
      <c r="L87" s="51"/>
      <c r="M87"/>
      <c r="N87"/>
      <c r="O87"/>
      <c r="Q87"/>
      <c r="R87"/>
      <c r="S87"/>
    </row>
    <row r="88" spans="3:19">
      <c r="C88" s="48"/>
      <c r="D88" s="49"/>
      <c r="E88" s="49"/>
      <c r="F88" s="49"/>
      <c r="G88" s="49"/>
      <c r="H88" s="49"/>
      <c r="I88" s="50"/>
      <c r="J88" s="51"/>
      <c r="K88" s="51"/>
      <c r="L88" s="51"/>
      <c r="M88"/>
      <c r="N88"/>
      <c r="O88"/>
      <c r="Q88"/>
      <c r="R88"/>
      <c r="S88"/>
    </row>
    <row r="89" spans="3:19">
      <c r="C89" s="48"/>
      <c r="D89" s="49"/>
      <c r="E89" s="49"/>
      <c r="F89" s="49"/>
      <c r="G89" s="49"/>
      <c r="H89" s="49"/>
      <c r="I89" s="50"/>
      <c r="J89" s="51"/>
      <c r="K89" s="51"/>
      <c r="L89" s="51"/>
      <c r="M89"/>
      <c r="N89"/>
      <c r="O89"/>
      <c r="Q89"/>
      <c r="R89"/>
      <c r="S89"/>
    </row>
    <row r="90" spans="3:19">
      <c r="C90" s="48"/>
      <c r="D90" s="49"/>
      <c r="E90" s="49"/>
      <c r="F90" s="49"/>
      <c r="G90" s="49"/>
      <c r="H90" s="49"/>
      <c r="I90" s="50"/>
      <c r="J90" s="51"/>
      <c r="K90" s="51"/>
      <c r="L90" s="51"/>
      <c r="M90"/>
      <c r="N90"/>
      <c r="O90"/>
      <c r="Q90"/>
      <c r="R90"/>
      <c r="S90"/>
    </row>
    <row r="91" spans="3:19">
      <c r="C91" s="48"/>
      <c r="D91" s="49"/>
      <c r="E91" s="49"/>
      <c r="F91" s="49"/>
      <c r="G91" s="49"/>
      <c r="H91" s="49"/>
      <c r="I91" s="50"/>
      <c r="J91" s="51"/>
      <c r="K91" s="51"/>
      <c r="L91" s="51"/>
      <c r="M91"/>
      <c r="N91"/>
      <c r="O91"/>
      <c r="Q91"/>
      <c r="R91"/>
      <c r="S91"/>
    </row>
    <row r="92" spans="3:19">
      <c r="C92" s="48"/>
      <c r="D92" s="49"/>
      <c r="E92" s="49"/>
      <c r="F92" s="49"/>
      <c r="G92" s="49"/>
      <c r="H92" s="49"/>
      <c r="I92" s="50"/>
      <c r="J92" s="51"/>
      <c r="K92" s="51"/>
      <c r="L92" s="51"/>
      <c r="M92"/>
      <c r="N92"/>
      <c r="O92"/>
      <c r="Q92"/>
      <c r="R92"/>
      <c r="S92"/>
    </row>
    <row r="93" spans="3:19">
      <c r="C93" s="48"/>
      <c r="D93" s="49"/>
      <c r="E93" s="49"/>
      <c r="F93" s="49"/>
      <c r="G93" s="49"/>
      <c r="H93" s="49"/>
      <c r="I93" s="50"/>
      <c r="J93" s="51"/>
      <c r="K93" s="51"/>
      <c r="L93" s="51"/>
      <c r="M93"/>
      <c r="N93"/>
      <c r="O93"/>
      <c r="Q93"/>
      <c r="R93"/>
      <c r="S93"/>
    </row>
    <row r="94" spans="3:19">
      <c r="C94" s="48"/>
      <c r="D94" s="49"/>
      <c r="E94" s="49"/>
      <c r="F94" s="49"/>
      <c r="G94" s="49"/>
      <c r="H94" s="49"/>
      <c r="I94" s="50"/>
      <c r="J94" s="51"/>
      <c r="K94" s="51"/>
      <c r="L94" s="51"/>
      <c r="M94"/>
      <c r="N94"/>
      <c r="O94"/>
      <c r="Q94"/>
      <c r="R94"/>
      <c r="S94"/>
    </row>
    <row r="95" spans="3:19">
      <c r="C95" s="48"/>
      <c r="D95" s="49"/>
      <c r="E95" s="49"/>
      <c r="F95" s="49"/>
      <c r="G95" s="49"/>
      <c r="H95" s="49"/>
      <c r="I95" s="50"/>
      <c r="J95" s="51"/>
      <c r="K95" s="51"/>
      <c r="L95" s="51"/>
      <c r="M95"/>
      <c r="N95"/>
      <c r="O95"/>
      <c r="Q95"/>
      <c r="R95"/>
      <c r="S95"/>
    </row>
    <row r="96" spans="3:19">
      <c r="C96" s="48"/>
      <c r="D96" s="49"/>
      <c r="E96" s="49"/>
      <c r="F96" s="49"/>
      <c r="G96" s="49"/>
      <c r="H96" s="49"/>
      <c r="I96" s="50"/>
      <c r="J96" s="51"/>
      <c r="K96" s="51"/>
      <c r="L96" s="51"/>
      <c r="M96"/>
      <c r="N96"/>
      <c r="O96"/>
      <c r="Q96"/>
      <c r="R96"/>
      <c r="S96"/>
    </row>
    <row r="97" spans="3:19">
      <c r="C97" s="48"/>
      <c r="D97" s="49"/>
      <c r="E97" s="49"/>
      <c r="F97" s="49"/>
      <c r="G97" s="49"/>
      <c r="H97" s="49"/>
      <c r="I97" s="50"/>
      <c r="J97" s="51"/>
      <c r="K97" s="51"/>
      <c r="L97" s="51"/>
      <c r="M97"/>
      <c r="N97"/>
      <c r="O97"/>
      <c r="Q97"/>
      <c r="R97"/>
      <c r="S97"/>
    </row>
    <row r="98" spans="3:19">
      <c r="C98" s="48"/>
      <c r="D98" s="49"/>
      <c r="E98" s="49"/>
      <c r="F98" s="49"/>
      <c r="G98" s="49"/>
      <c r="H98" s="49"/>
      <c r="I98" s="50"/>
      <c r="J98" s="51"/>
      <c r="K98" s="51"/>
      <c r="L98" s="51"/>
      <c r="M98"/>
      <c r="N98"/>
      <c r="O98"/>
      <c r="Q98"/>
      <c r="R98"/>
      <c r="S98"/>
    </row>
    <row r="99" spans="3:19">
      <c r="C99" s="48"/>
      <c r="D99" s="49"/>
      <c r="E99" s="49"/>
      <c r="F99" s="49"/>
      <c r="G99" s="49"/>
      <c r="H99" s="49"/>
      <c r="I99" s="50"/>
      <c r="J99" s="51"/>
      <c r="K99" s="51"/>
      <c r="L99" s="51"/>
      <c r="M99"/>
      <c r="N99"/>
      <c r="O99"/>
      <c r="Q99"/>
      <c r="R99"/>
      <c r="S99"/>
    </row>
    <row r="100" spans="3:19">
      <c r="C100" s="48"/>
      <c r="D100" s="49"/>
      <c r="E100" s="49"/>
      <c r="F100" s="49"/>
      <c r="G100" s="49"/>
      <c r="H100" s="49"/>
      <c r="I100" s="50"/>
      <c r="J100" s="51"/>
      <c r="K100" s="51"/>
      <c r="L100" s="51"/>
      <c r="M100"/>
      <c r="N100"/>
      <c r="O100"/>
      <c r="Q100"/>
      <c r="R100"/>
      <c r="S100"/>
    </row>
    <row r="101" spans="3:19">
      <c r="C101" s="48"/>
      <c r="D101" s="49"/>
      <c r="E101" s="49"/>
      <c r="F101" s="49"/>
      <c r="G101" s="49"/>
      <c r="H101" s="49"/>
      <c r="I101" s="50"/>
      <c r="J101" s="51"/>
      <c r="K101" s="51"/>
      <c r="L101" s="51"/>
      <c r="M101"/>
      <c r="N101"/>
      <c r="O101"/>
      <c r="Q101"/>
      <c r="R101"/>
      <c r="S101"/>
    </row>
    <row r="102" spans="3:19">
      <c r="C102" s="48"/>
      <c r="D102" s="49"/>
      <c r="E102" s="49"/>
      <c r="F102" s="49"/>
      <c r="G102" s="49"/>
      <c r="H102" s="49"/>
      <c r="I102" s="50"/>
      <c r="J102" s="51"/>
      <c r="K102" s="51"/>
      <c r="L102" s="51"/>
      <c r="M102"/>
      <c r="N102"/>
      <c r="O102"/>
      <c r="Q102"/>
      <c r="R102"/>
      <c r="S102"/>
    </row>
    <row r="103" spans="3:19">
      <c r="C103" s="48"/>
      <c r="D103" s="49"/>
      <c r="E103" s="49"/>
      <c r="F103" s="49"/>
      <c r="G103" s="49"/>
      <c r="H103" s="49"/>
      <c r="I103" s="50"/>
      <c r="J103" s="51"/>
      <c r="K103" s="51"/>
      <c r="L103" s="51"/>
      <c r="M103"/>
      <c r="N103"/>
      <c r="O103"/>
      <c r="Q103"/>
      <c r="R103"/>
      <c r="S103"/>
    </row>
    <row r="104" spans="3:19">
      <c r="C104" s="48"/>
      <c r="D104" s="49"/>
      <c r="E104" s="49"/>
      <c r="F104" s="49"/>
      <c r="G104" s="49"/>
      <c r="H104" s="49"/>
      <c r="I104" s="50"/>
      <c r="J104" s="51"/>
      <c r="K104" s="51"/>
      <c r="L104" s="51"/>
      <c r="M104"/>
      <c r="N104"/>
      <c r="O104"/>
      <c r="Q104"/>
      <c r="R104"/>
      <c r="S104"/>
    </row>
    <row r="105" spans="3:19">
      <c r="C105" s="48"/>
      <c r="D105" s="49"/>
      <c r="E105" s="49"/>
      <c r="F105" s="49"/>
      <c r="G105" s="49"/>
      <c r="H105" s="49"/>
      <c r="I105" s="50"/>
      <c r="J105" s="51"/>
      <c r="K105" s="51"/>
      <c r="L105" s="51"/>
      <c r="M105"/>
      <c r="N105"/>
      <c r="O105"/>
      <c r="Q105"/>
      <c r="R105"/>
      <c r="S105"/>
    </row>
    <row r="106" spans="3:19">
      <c r="C106" s="48"/>
      <c r="D106" s="49"/>
      <c r="E106" s="49"/>
      <c r="F106" s="49"/>
      <c r="G106" s="49"/>
      <c r="H106" s="49"/>
      <c r="I106" s="50"/>
      <c r="J106" s="51"/>
      <c r="K106" s="51"/>
      <c r="L106" s="51"/>
      <c r="M106"/>
      <c r="N106"/>
      <c r="O106"/>
      <c r="Q106"/>
      <c r="R106"/>
      <c r="S106"/>
    </row>
    <row r="107" spans="3:19">
      <c r="C107" s="48"/>
      <c r="D107" s="49"/>
      <c r="E107" s="49"/>
      <c r="F107" s="49"/>
      <c r="G107" s="49"/>
      <c r="H107" s="49"/>
      <c r="I107" s="50"/>
      <c r="J107" s="51"/>
      <c r="K107" s="51"/>
      <c r="L107" s="51"/>
      <c r="M107"/>
      <c r="N107"/>
      <c r="O107"/>
      <c r="Q107"/>
      <c r="R107"/>
      <c r="S107"/>
    </row>
    <row r="108" spans="3:19">
      <c r="C108" s="48"/>
      <c r="D108" s="49"/>
      <c r="E108" s="49"/>
      <c r="F108" s="49"/>
      <c r="G108" s="49"/>
      <c r="H108" s="49"/>
      <c r="I108" s="50"/>
      <c r="J108" s="51"/>
      <c r="K108" s="51"/>
      <c r="L108" s="51"/>
      <c r="M108"/>
      <c r="N108"/>
      <c r="O108"/>
      <c r="Q108"/>
      <c r="R108"/>
      <c r="S108"/>
    </row>
    <row r="109" spans="3:19">
      <c r="C109" s="48"/>
      <c r="D109" s="49"/>
      <c r="E109" s="49"/>
      <c r="F109" s="49"/>
      <c r="G109" s="49"/>
      <c r="H109" s="49"/>
      <c r="I109" s="50"/>
      <c r="J109" s="51"/>
      <c r="K109" s="51"/>
      <c r="L109" s="51"/>
      <c r="M109"/>
      <c r="N109"/>
      <c r="O109"/>
      <c r="Q109"/>
      <c r="R109"/>
      <c r="S109"/>
    </row>
    <row r="110" spans="3:19">
      <c r="C110" s="48"/>
      <c r="D110" s="49"/>
      <c r="E110" s="49"/>
      <c r="F110" s="49"/>
      <c r="G110" s="49"/>
      <c r="H110" s="49"/>
      <c r="I110" s="50"/>
      <c r="J110" s="51"/>
      <c r="K110" s="51"/>
      <c r="L110" s="51"/>
      <c r="M110"/>
      <c r="N110"/>
      <c r="O110"/>
      <c r="Q110"/>
      <c r="R110"/>
      <c r="S110"/>
    </row>
    <row r="111" spans="3:19">
      <c r="C111" s="48"/>
      <c r="D111" s="49"/>
      <c r="E111" s="49"/>
      <c r="F111" s="49"/>
      <c r="G111" s="49"/>
      <c r="H111" s="49"/>
      <c r="I111" s="50"/>
      <c r="J111" s="51"/>
      <c r="K111" s="51"/>
      <c r="L111" s="51"/>
      <c r="M111"/>
      <c r="N111"/>
      <c r="O111"/>
      <c r="Q111"/>
      <c r="R111"/>
      <c r="S111"/>
    </row>
    <row r="112" spans="3:19">
      <c r="C112" s="48"/>
      <c r="D112" s="49"/>
      <c r="E112" s="49"/>
      <c r="F112" s="49"/>
      <c r="G112" s="49"/>
      <c r="H112" s="49"/>
      <c r="I112" s="50"/>
      <c r="J112" s="51"/>
      <c r="K112" s="51"/>
      <c r="L112" s="51"/>
      <c r="M112"/>
      <c r="N112"/>
      <c r="O112"/>
      <c r="Q112"/>
      <c r="R112"/>
      <c r="S112"/>
    </row>
    <row r="113" spans="3:19">
      <c r="C113" s="48"/>
      <c r="D113" s="49"/>
      <c r="E113" s="49"/>
      <c r="F113" s="49"/>
      <c r="G113" s="49"/>
      <c r="H113" s="49"/>
      <c r="I113" s="50"/>
      <c r="J113" s="51"/>
      <c r="K113" s="51"/>
      <c r="L113" s="51"/>
      <c r="M113"/>
      <c r="N113"/>
      <c r="O113"/>
      <c r="Q113"/>
      <c r="R113"/>
      <c r="S113"/>
    </row>
    <row r="127" spans="3:19">
      <c r="C127"/>
      <c r="I127"/>
      <c r="J127"/>
      <c r="K127"/>
      <c r="L127"/>
      <c r="M127"/>
      <c r="N127"/>
      <c r="O127"/>
      <c r="Q127"/>
      <c r="R127"/>
      <c r="S127"/>
    </row>
    <row r="128" spans="3:19">
      <c r="C128"/>
      <c r="I128"/>
      <c r="J128"/>
      <c r="K128"/>
      <c r="L128"/>
      <c r="M128"/>
      <c r="N128"/>
      <c r="O128"/>
      <c r="Q128"/>
      <c r="R128"/>
      <c r="S128"/>
    </row>
    <row r="129" spans="3:19">
      <c r="C129"/>
      <c r="I129"/>
      <c r="J129"/>
      <c r="K129"/>
      <c r="L129"/>
      <c r="M129"/>
      <c r="N129"/>
      <c r="O129"/>
      <c r="Q129"/>
      <c r="R129"/>
      <c r="S129"/>
    </row>
    <row r="130" spans="3:19">
      <c r="C130"/>
      <c r="I130"/>
      <c r="J130"/>
      <c r="K130"/>
      <c r="L130"/>
      <c r="M130"/>
      <c r="N130"/>
      <c r="O130"/>
      <c r="Q130"/>
      <c r="R130"/>
      <c r="S130"/>
    </row>
    <row r="131" spans="3:19">
      <c r="C131"/>
      <c r="I131"/>
      <c r="J131"/>
      <c r="K131"/>
      <c r="L131"/>
      <c r="M131"/>
      <c r="N131"/>
      <c r="O131"/>
      <c r="Q131"/>
      <c r="R131"/>
      <c r="S131"/>
    </row>
    <row r="132" spans="3:19">
      <c r="C132"/>
      <c r="I132"/>
      <c r="J132"/>
      <c r="K132"/>
      <c r="L132"/>
      <c r="M132"/>
      <c r="N132"/>
      <c r="O132"/>
      <c r="Q132"/>
      <c r="R132"/>
      <c r="S132"/>
    </row>
  </sheetData>
  <sheetProtection password="EFEB" sheet="1" objects="1" scenarios="1"/>
  <mergeCells count="6">
    <mergeCell ref="B1:S1"/>
    <mergeCell ref="J3:L3"/>
    <mergeCell ref="D33:K33"/>
    <mergeCell ref="D35:K35"/>
    <mergeCell ref="M2:O2"/>
    <mergeCell ref="Q2:S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B1:AK111"/>
  <sheetViews>
    <sheetView topLeftCell="J22" workbookViewId="0">
      <selection activeCell="S29" sqref="S29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20.7109375" customWidth="1"/>
    <col min="6" max="6" width="38.85546875" customWidth="1"/>
    <col min="7" max="7" width="38.85546875" hidden="1" customWidth="1"/>
    <col min="8" max="8" width="38.85546875" customWidth="1"/>
    <col min="9" max="9" width="25.5703125" style="2" customWidth="1"/>
    <col min="10" max="12" width="9.140625" style="3"/>
    <col min="13" max="13" width="17.42578125" style="4" customWidth="1"/>
    <col min="14" max="15" width="15" style="4" customWidth="1"/>
    <col min="16" max="16" width="13.5703125" customWidth="1"/>
    <col min="17" max="17" width="16.28515625" style="5" customWidth="1"/>
    <col min="18" max="18" width="14.85546875" style="6" customWidth="1"/>
    <col min="19" max="19" width="18" style="6" customWidth="1"/>
    <col min="252" max="252" width="7.42578125" customWidth="1"/>
    <col min="253" max="253" width="22.7109375" customWidth="1"/>
    <col min="254" max="254" width="14.42578125" customWidth="1"/>
    <col min="255" max="255" width="16.42578125" customWidth="1"/>
    <col min="256" max="256" width="8.140625" customWidth="1"/>
    <col min="257" max="257" width="10.85546875" customWidth="1"/>
    <col min="258" max="258" width="38.85546875" customWidth="1"/>
    <col min="259" max="259" width="25.5703125" customWidth="1"/>
    <col min="263" max="263" width="44.85546875" customWidth="1"/>
    <col min="264" max="264" width="17.42578125" customWidth="1"/>
    <col min="265" max="265" width="15" customWidth="1"/>
    <col min="266" max="266" width="13.85546875" customWidth="1"/>
    <col min="267" max="267" width="13.5703125" customWidth="1"/>
    <col min="268" max="268" width="11.7109375" customWidth="1"/>
    <col min="269" max="269" width="14" customWidth="1"/>
    <col min="270" max="270" width="16.28515625" customWidth="1"/>
    <col min="271" max="271" width="12.5703125" customWidth="1"/>
    <col min="272" max="272" width="13.28515625" customWidth="1"/>
    <col min="273" max="273" width="14.85546875" customWidth="1"/>
    <col min="274" max="274" width="18" customWidth="1"/>
    <col min="275" max="275" width="24" customWidth="1"/>
    <col min="508" max="508" width="7.42578125" customWidth="1"/>
    <col min="509" max="509" width="22.7109375" customWidth="1"/>
    <col min="510" max="510" width="14.42578125" customWidth="1"/>
    <col min="511" max="511" width="16.42578125" customWidth="1"/>
    <col min="512" max="512" width="8.140625" customWidth="1"/>
    <col min="513" max="513" width="10.85546875" customWidth="1"/>
    <col min="514" max="514" width="38.85546875" customWidth="1"/>
    <col min="515" max="515" width="25.5703125" customWidth="1"/>
    <col min="519" max="519" width="44.85546875" customWidth="1"/>
    <col min="520" max="520" width="17.42578125" customWidth="1"/>
    <col min="521" max="521" width="15" customWidth="1"/>
    <col min="522" max="522" width="13.85546875" customWidth="1"/>
    <col min="523" max="523" width="13.5703125" customWidth="1"/>
    <col min="524" max="524" width="11.7109375" customWidth="1"/>
    <col min="525" max="525" width="14" customWidth="1"/>
    <col min="526" max="526" width="16.28515625" customWidth="1"/>
    <col min="527" max="527" width="12.5703125" customWidth="1"/>
    <col min="528" max="528" width="13.28515625" customWidth="1"/>
    <col min="529" max="529" width="14.85546875" customWidth="1"/>
    <col min="530" max="530" width="18" customWidth="1"/>
    <col min="531" max="531" width="24" customWidth="1"/>
    <col min="764" max="764" width="7.42578125" customWidth="1"/>
    <col min="765" max="765" width="22.7109375" customWidth="1"/>
    <col min="766" max="766" width="14.42578125" customWidth="1"/>
    <col min="767" max="767" width="16.42578125" customWidth="1"/>
    <col min="768" max="768" width="8.140625" customWidth="1"/>
    <col min="769" max="769" width="10.85546875" customWidth="1"/>
    <col min="770" max="770" width="38.85546875" customWidth="1"/>
    <col min="771" max="771" width="25.5703125" customWidth="1"/>
    <col min="775" max="775" width="44.85546875" customWidth="1"/>
    <col min="776" max="776" width="17.42578125" customWidth="1"/>
    <col min="777" max="777" width="15" customWidth="1"/>
    <col min="778" max="778" width="13.85546875" customWidth="1"/>
    <col min="779" max="779" width="13.5703125" customWidth="1"/>
    <col min="780" max="780" width="11.7109375" customWidth="1"/>
    <col min="781" max="781" width="14" customWidth="1"/>
    <col min="782" max="782" width="16.28515625" customWidth="1"/>
    <col min="783" max="783" width="12.5703125" customWidth="1"/>
    <col min="784" max="784" width="13.28515625" customWidth="1"/>
    <col min="785" max="785" width="14.85546875" customWidth="1"/>
    <col min="786" max="786" width="18" customWidth="1"/>
    <col min="787" max="787" width="24" customWidth="1"/>
    <col min="1020" max="1020" width="7.42578125" customWidth="1"/>
    <col min="1021" max="1021" width="22.7109375" customWidth="1"/>
    <col min="1022" max="1022" width="14.42578125" customWidth="1"/>
    <col min="1023" max="1023" width="16.42578125" customWidth="1"/>
    <col min="1024" max="1024" width="8.140625" customWidth="1"/>
    <col min="1025" max="1025" width="10.85546875" customWidth="1"/>
    <col min="1026" max="1026" width="38.85546875" customWidth="1"/>
    <col min="1027" max="1027" width="25.5703125" customWidth="1"/>
    <col min="1031" max="1031" width="44.85546875" customWidth="1"/>
    <col min="1032" max="1032" width="17.42578125" customWidth="1"/>
    <col min="1033" max="1033" width="15" customWidth="1"/>
    <col min="1034" max="1034" width="13.85546875" customWidth="1"/>
    <col min="1035" max="1035" width="13.5703125" customWidth="1"/>
    <col min="1036" max="1036" width="11.7109375" customWidth="1"/>
    <col min="1037" max="1037" width="14" customWidth="1"/>
    <col min="1038" max="1038" width="16.28515625" customWidth="1"/>
    <col min="1039" max="1039" width="12.5703125" customWidth="1"/>
    <col min="1040" max="1040" width="13.28515625" customWidth="1"/>
    <col min="1041" max="1041" width="14.85546875" customWidth="1"/>
    <col min="1042" max="1042" width="18" customWidth="1"/>
    <col min="1043" max="1043" width="24" customWidth="1"/>
    <col min="1276" max="1276" width="7.42578125" customWidth="1"/>
    <col min="1277" max="1277" width="22.7109375" customWidth="1"/>
    <col min="1278" max="1278" width="14.42578125" customWidth="1"/>
    <col min="1279" max="1279" width="16.42578125" customWidth="1"/>
    <col min="1280" max="1280" width="8.140625" customWidth="1"/>
    <col min="1281" max="1281" width="10.85546875" customWidth="1"/>
    <col min="1282" max="1282" width="38.85546875" customWidth="1"/>
    <col min="1283" max="1283" width="25.5703125" customWidth="1"/>
    <col min="1287" max="1287" width="44.85546875" customWidth="1"/>
    <col min="1288" max="1288" width="17.42578125" customWidth="1"/>
    <col min="1289" max="1289" width="15" customWidth="1"/>
    <col min="1290" max="1290" width="13.85546875" customWidth="1"/>
    <col min="1291" max="1291" width="13.5703125" customWidth="1"/>
    <col min="1292" max="1292" width="11.7109375" customWidth="1"/>
    <col min="1293" max="1293" width="14" customWidth="1"/>
    <col min="1294" max="1294" width="16.28515625" customWidth="1"/>
    <col min="1295" max="1295" width="12.5703125" customWidth="1"/>
    <col min="1296" max="1296" width="13.28515625" customWidth="1"/>
    <col min="1297" max="1297" width="14.85546875" customWidth="1"/>
    <col min="1298" max="1298" width="18" customWidth="1"/>
    <col min="1299" max="1299" width="24" customWidth="1"/>
    <col min="1532" max="1532" width="7.42578125" customWidth="1"/>
    <col min="1533" max="1533" width="22.7109375" customWidth="1"/>
    <col min="1534" max="1534" width="14.42578125" customWidth="1"/>
    <col min="1535" max="1535" width="16.42578125" customWidth="1"/>
    <col min="1536" max="1536" width="8.140625" customWidth="1"/>
    <col min="1537" max="1537" width="10.85546875" customWidth="1"/>
    <col min="1538" max="1538" width="38.85546875" customWidth="1"/>
    <col min="1539" max="1539" width="25.5703125" customWidth="1"/>
    <col min="1543" max="1543" width="44.85546875" customWidth="1"/>
    <col min="1544" max="1544" width="17.42578125" customWidth="1"/>
    <col min="1545" max="1545" width="15" customWidth="1"/>
    <col min="1546" max="1546" width="13.85546875" customWidth="1"/>
    <col min="1547" max="1547" width="13.5703125" customWidth="1"/>
    <col min="1548" max="1548" width="11.7109375" customWidth="1"/>
    <col min="1549" max="1549" width="14" customWidth="1"/>
    <col min="1550" max="1550" width="16.28515625" customWidth="1"/>
    <col min="1551" max="1551" width="12.5703125" customWidth="1"/>
    <col min="1552" max="1552" width="13.28515625" customWidth="1"/>
    <col min="1553" max="1553" width="14.85546875" customWidth="1"/>
    <col min="1554" max="1554" width="18" customWidth="1"/>
    <col min="1555" max="1555" width="24" customWidth="1"/>
    <col min="1788" max="1788" width="7.42578125" customWidth="1"/>
    <col min="1789" max="1789" width="22.7109375" customWidth="1"/>
    <col min="1790" max="1790" width="14.42578125" customWidth="1"/>
    <col min="1791" max="1791" width="16.42578125" customWidth="1"/>
    <col min="1792" max="1792" width="8.140625" customWidth="1"/>
    <col min="1793" max="1793" width="10.85546875" customWidth="1"/>
    <col min="1794" max="1794" width="38.85546875" customWidth="1"/>
    <col min="1795" max="1795" width="25.5703125" customWidth="1"/>
    <col min="1799" max="1799" width="44.85546875" customWidth="1"/>
    <col min="1800" max="1800" width="17.42578125" customWidth="1"/>
    <col min="1801" max="1801" width="15" customWidth="1"/>
    <col min="1802" max="1802" width="13.85546875" customWidth="1"/>
    <col min="1803" max="1803" width="13.5703125" customWidth="1"/>
    <col min="1804" max="1804" width="11.7109375" customWidth="1"/>
    <col min="1805" max="1805" width="14" customWidth="1"/>
    <col min="1806" max="1806" width="16.28515625" customWidth="1"/>
    <col min="1807" max="1807" width="12.5703125" customWidth="1"/>
    <col min="1808" max="1808" width="13.28515625" customWidth="1"/>
    <col min="1809" max="1809" width="14.85546875" customWidth="1"/>
    <col min="1810" max="1810" width="18" customWidth="1"/>
    <col min="1811" max="1811" width="24" customWidth="1"/>
    <col min="2044" max="2044" width="7.42578125" customWidth="1"/>
    <col min="2045" max="2045" width="22.7109375" customWidth="1"/>
    <col min="2046" max="2046" width="14.42578125" customWidth="1"/>
    <col min="2047" max="2047" width="16.42578125" customWidth="1"/>
    <col min="2048" max="2048" width="8.140625" customWidth="1"/>
    <col min="2049" max="2049" width="10.85546875" customWidth="1"/>
    <col min="2050" max="2050" width="38.85546875" customWidth="1"/>
    <col min="2051" max="2051" width="25.5703125" customWidth="1"/>
    <col min="2055" max="2055" width="44.85546875" customWidth="1"/>
    <col min="2056" max="2056" width="17.42578125" customWidth="1"/>
    <col min="2057" max="2057" width="15" customWidth="1"/>
    <col min="2058" max="2058" width="13.85546875" customWidth="1"/>
    <col min="2059" max="2059" width="13.5703125" customWidth="1"/>
    <col min="2060" max="2060" width="11.7109375" customWidth="1"/>
    <col min="2061" max="2061" width="14" customWidth="1"/>
    <col min="2062" max="2062" width="16.28515625" customWidth="1"/>
    <col min="2063" max="2063" width="12.5703125" customWidth="1"/>
    <col min="2064" max="2064" width="13.28515625" customWidth="1"/>
    <col min="2065" max="2065" width="14.85546875" customWidth="1"/>
    <col min="2066" max="2066" width="18" customWidth="1"/>
    <col min="2067" max="2067" width="24" customWidth="1"/>
    <col min="2300" max="2300" width="7.42578125" customWidth="1"/>
    <col min="2301" max="2301" width="22.7109375" customWidth="1"/>
    <col min="2302" max="2302" width="14.42578125" customWidth="1"/>
    <col min="2303" max="2303" width="16.42578125" customWidth="1"/>
    <col min="2304" max="2304" width="8.140625" customWidth="1"/>
    <col min="2305" max="2305" width="10.85546875" customWidth="1"/>
    <col min="2306" max="2306" width="38.85546875" customWidth="1"/>
    <col min="2307" max="2307" width="25.5703125" customWidth="1"/>
    <col min="2311" max="2311" width="44.85546875" customWidth="1"/>
    <col min="2312" max="2312" width="17.42578125" customWidth="1"/>
    <col min="2313" max="2313" width="15" customWidth="1"/>
    <col min="2314" max="2314" width="13.85546875" customWidth="1"/>
    <col min="2315" max="2315" width="13.5703125" customWidth="1"/>
    <col min="2316" max="2316" width="11.7109375" customWidth="1"/>
    <col min="2317" max="2317" width="14" customWidth="1"/>
    <col min="2318" max="2318" width="16.28515625" customWidth="1"/>
    <col min="2319" max="2319" width="12.5703125" customWidth="1"/>
    <col min="2320" max="2320" width="13.28515625" customWidth="1"/>
    <col min="2321" max="2321" width="14.85546875" customWidth="1"/>
    <col min="2322" max="2322" width="18" customWidth="1"/>
    <col min="2323" max="2323" width="24" customWidth="1"/>
    <col min="2556" max="2556" width="7.42578125" customWidth="1"/>
    <col min="2557" max="2557" width="22.7109375" customWidth="1"/>
    <col min="2558" max="2558" width="14.42578125" customWidth="1"/>
    <col min="2559" max="2559" width="16.42578125" customWidth="1"/>
    <col min="2560" max="2560" width="8.140625" customWidth="1"/>
    <col min="2561" max="2561" width="10.85546875" customWidth="1"/>
    <col min="2562" max="2562" width="38.85546875" customWidth="1"/>
    <col min="2563" max="2563" width="25.5703125" customWidth="1"/>
    <col min="2567" max="2567" width="44.85546875" customWidth="1"/>
    <col min="2568" max="2568" width="17.42578125" customWidth="1"/>
    <col min="2569" max="2569" width="15" customWidth="1"/>
    <col min="2570" max="2570" width="13.85546875" customWidth="1"/>
    <col min="2571" max="2571" width="13.5703125" customWidth="1"/>
    <col min="2572" max="2572" width="11.7109375" customWidth="1"/>
    <col min="2573" max="2573" width="14" customWidth="1"/>
    <col min="2574" max="2574" width="16.28515625" customWidth="1"/>
    <col min="2575" max="2575" width="12.5703125" customWidth="1"/>
    <col min="2576" max="2576" width="13.28515625" customWidth="1"/>
    <col min="2577" max="2577" width="14.85546875" customWidth="1"/>
    <col min="2578" max="2578" width="18" customWidth="1"/>
    <col min="2579" max="2579" width="24" customWidth="1"/>
    <col min="2812" max="2812" width="7.42578125" customWidth="1"/>
    <col min="2813" max="2813" width="22.7109375" customWidth="1"/>
    <col min="2814" max="2814" width="14.42578125" customWidth="1"/>
    <col min="2815" max="2815" width="16.42578125" customWidth="1"/>
    <col min="2816" max="2816" width="8.140625" customWidth="1"/>
    <col min="2817" max="2817" width="10.85546875" customWidth="1"/>
    <col min="2818" max="2818" width="38.85546875" customWidth="1"/>
    <col min="2819" max="2819" width="25.5703125" customWidth="1"/>
    <col min="2823" max="2823" width="44.85546875" customWidth="1"/>
    <col min="2824" max="2824" width="17.42578125" customWidth="1"/>
    <col min="2825" max="2825" width="15" customWidth="1"/>
    <col min="2826" max="2826" width="13.85546875" customWidth="1"/>
    <col min="2827" max="2827" width="13.5703125" customWidth="1"/>
    <col min="2828" max="2828" width="11.7109375" customWidth="1"/>
    <col min="2829" max="2829" width="14" customWidth="1"/>
    <col min="2830" max="2830" width="16.28515625" customWidth="1"/>
    <col min="2831" max="2831" width="12.5703125" customWidth="1"/>
    <col min="2832" max="2832" width="13.28515625" customWidth="1"/>
    <col min="2833" max="2833" width="14.85546875" customWidth="1"/>
    <col min="2834" max="2834" width="18" customWidth="1"/>
    <col min="2835" max="2835" width="24" customWidth="1"/>
    <col min="3068" max="3068" width="7.42578125" customWidth="1"/>
    <col min="3069" max="3069" width="22.7109375" customWidth="1"/>
    <col min="3070" max="3070" width="14.42578125" customWidth="1"/>
    <col min="3071" max="3071" width="16.42578125" customWidth="1"/>
    <col min="3072" max="3072" width="8.140625" customWidth="1"/>
    <col min="3073" max="3073" width="10.85546875" customWidth="1"/>
    <col min="3074" max="3074" width="38.85546875" customWidth="1"/>
    <col min="3075" max="3075" width="25.5703125" customWidth="1"/>
    <col min="3079" max="3079" width="44.85546875" customWidth="1"/>
    <col min="3080" max="3080" width="17.42578125" customWidth="1"/>
    <col min="3081" max="3081" width="15" customWidth="1"/>
    <col min="3082" max="3082" width="13.85546875" customWidth="1"/>
    <col min="3083" max="3083" width="13.5703125" customWidth="1"/>
    <col min="3084" max="3084" width="11.7109375" customWidth="1"/>
    <col min="3085" max="3085" width="14" customWidth="1"/>
    <col min="3086" max="3086" width="16.28515625" customWidth="1"/>
    <col min="3087" max="3087" width="12.5703125" customWidth="1"/>
    <col min="3088" max="3088" width="13.28515625" customWidth="1"/>
    <col min="3089" max="3089" width="14.85546875" customWidth="1"/>
    <col min="3090" max="3090" width="18" customWidth="1"/>
    <col min="3091" max="3091" width="24" customWidth="1"/>
    <col min="3324" max="3324" width="7.42578125" customWidth="1"/>
    <col min="3325" max="3325" width="22.7109375" customWidth="1"/>
    <col min="3326" max="3326" width="14.42578125" customWidth="1"/>
    <col min="3327" max="3327" width="16.42578125" customWidth="1"/>
    <col min="3328" max="3328" width="8.140625" customWidth="1"/>
    <col min="3329" max="3329" width="10.85546875" customWidth="1"/>
    <col min="3330" max="3330" width="38.85546875" customWidth="1"/>
    <col min="3331" max="3331" width="25.5703125" customWidth="1"/>
    <col min="3335" max="3335" width="44.85546875" customWidth="1"/>
    <col min="3336" max="3336" width="17.42578125" customWidth="1"/>
    <col min="3337" max="3337" width="15" customWidth="1"/>
    <col min="3338" max="3338" width="13.85546875" customWidth="1"/>
    <col min="3339" max="3339" width="13.5703125" customWidth="1"/>
    <col min="3340" max="3340" width="11.7109375" customWidth="1"/>
    <col min="3341" max="3341" width="14" customWidth="1"/>
    <col min="3342" max="3342" width="16.28515625" customWidth="1"/>
    <col min="3343" max="3343" width="12.5703125" customWidth="1"/>
    <col min="3344" max="3344" width="13.28515625" customWidth="1"/>
    <col min="3345" max="3345" width="14.85546875" customWidth="1"/>
    <col min="3346" max="3346" width="18" customWidth="1"/>
    <col min="3347" max="3347" width="24" customWidth="1"/>
    <col min="3580" max="3580" width="7.42578125" customWidth="1"/>
    <col min="3581" max="3581" width="22.7109375" customWidth="1"/>
    <col min="3582" max="3582" width="14.42578125" customWidth="1"/>
    <col min="3583" max="3583" width="16.42578125" customWidth="1"/>
    <col min="3584" max="3584" width="8.140625" customWidth="1"/>
    <col min="3585" max="3585" width="10.85546875" customWidth="1"/>
    <col min="3586" max="3586" width="38.85546875" customWidth="1"/>
    <col min="3587" max="3587" width="25.5703125" customWidth="1"/>
    <col min="3591" max="3591" width="44.85546875" customWidth="1"/>
    <col min="3592" max="3592" width="17.42578125" customWidth="1"/>
    <col min="3593" max="3593" width="15" customWidth="1"/>
    <col min="3594" max="3594" width="13.85546875" customWidth="1"/>
    <col min="3595" max="3595" width="13.5703125" customWidth="1"/>
    <col min="3596" max="3596" width="11.7109375" customWidth="1"/>
    <col min="3597" max="3597" width="14" customWidth="1"/>
    <col min="3598" max="3598" width="16.28515625" customWidth="1"/>
    <col min="3599" max="3599" width="12.5703125" customWidth="1"/>
    <col min="3600" max="3600" width="13.28515625" customWidth="1"/>
    <col min="3601" max="3601" width="14.85546875" customWidth="1"/>
    <col min="3602" max="3602" width="18" customWidth="1"/>
    <col min="3603" max="3603" width="24" customWidth="1"/>
    <col min="3836" max="3836" width="7.42578125" customWidth="1"/>
    <col min="3837" max="3837" width="22.7109375" customWidth="1"/>
    <col min="3838" max="3838" width="14.42578125" customWidth="1"/>
    <col min="3839" max="3839" width="16.42578125" customWidth="1"/>
    <col min="3840" max="3840" width="8.140625" customWidth="1"/>
    <col min="3841" max="3841" width="10.85546875" customWidth="1"/>
    <col min="3842" max="3842" width="38.85546875" customWidth="1"/>
    <col min="3843" max="3843" width="25.5703125" customWidth="1"/>
    <col min="3847" max="3847" width="44.85546875" customWidth="1"/>
    <col min="3848" max="3848" width="17.42578125" customWidth="1"/>
    <col min="3849" max="3849" width="15" customWidth="1"/>
    <col min="3850" max="3850" width="13.85546875" customWidth="1"/>
    <col min="3851" max="3851" width="13.5703125" customWidth="1"/>
    <col min="3852" max="3852" width="11.7109375" customWidth="1"/>
    <col min="3853" max="3853" width="14" customWidth="1"/>
    <col min="3854" max="3854" width="16.28515625" customWidth="1"/>
    <col min="3855" max="3855" width="12.5703125" customWidth="1"/>
    <col min="3856" max="3856" width="13.28515625" customWidth="1"/>
    <col min="3857" max="3857" width="14.85546875" customWidth="1"/>
    <col min="3858" max="3858" width="18" customWidth="1"/>
    <col min="3859" max="3859" width="24" customWidth="1"/>
    <col min="4092" max="4092" width="7.42578125" customWidth="1"/>
    <col min="4093" max="4093" width="22.7109375" customWidth="1"/>
    <col min="4094" max="4094" width="14.42578125" customWidth="1"/>
    <col min="4095" max="4095" width="16.42578125" customWidth="1"/>
    <col min="4096" max="4096" width="8.140625" customWidth="1"/>
    <col min="4097" max="4097" width="10.85546875" customWidth="1"/>
    <col min="4098" max="4098" width="38.85546875" customWidth="1"/>
    <col min="4099" max="4099" width="25.5703125" customWidth="1"/>
    <col min="4103" max="4103" width="44.85546875" customWidth="1"/>
    <col min="4104" max="4104" width="17.42578125" customWidth="1"/>
    <col min="4105" max="4105" width="15" customWidth="1"/>
    <col min="4106" max="4106" width="13.85546875" customWidth="1"/>
    <col min="4107" max="4107" width="13.5703125" customWidth="1"/>
    <col min="4108" max="4108" width="11.7109375" customWidth="1"/>
    <col min="4109" max="4109" width="14" customWidth="1"/>
    <col min="4110" max="4110" width="16.28515625" customWidth="1"/>
    <col min="4111" max="4111" width="12.5703125" customWidth="1"/>
    <col min="4112" max="4112" width="13.28515625" customWidth="1"/>
    <col min="4113" max="4113" width="14.85546875" customWidth="1"/>
    <col min="4114" max="4114" width="18" customWidth="1"/>
    <col min="4115" max="4115" width="24" customWidth="1"/>
    <col min="4348" max="4348" width="7.42578125" customWidth="1"/>
    <col min="4349" max="4349" width="22.7109375" customWidth="1"/>
    <col min="4350" max="4350" width="14.42578125" customWidth="1"/>
    <col min="4351" max="4351" width="16.42578125" customWidth="1"/>
    <col min="4352" max="4352" width="8.140625" customWidth="1"/>
    <col min="4353" max="4353" width="10.85546875" customWidth="1"/>
    <col min="4354" max="4354" width="38.85546875" customWidth="1"/>
    <col min="4355" max="4355" width="25.5703125" customWidth="1"/>
    <col min="4359" max="4359" width="44.85546875" customWidth="1"/>
    <col min="4360" max="4360" width="17.42578125" customWidth="1"/>
    <col min="4361" max="4361" width="15" customWidth="1"/>
    <col min="4362" max="4362" width="13.85546875" customWidth="1"/>
    <col min="4363" max="4363" width="13.5703125" customWidth="1"/>
    <col min="4364" max="4364" width="11.7109375" customWidth="1"/>
    <col min="4365" max="4365" width="14" customWidth="1"/>
    <col min="4366" max="4366" width="16.28515625" customWidth="1"/>
    <col min="4367" max="4367" width="12.5703125" customWidth="1"/>
    <col min="4368" max="4368" width="13.28515625" customWidth="1"/>
    <col min="4369" max="4369" width="14.85546875" customWidth="1"/>
    <col min="4370" max="4370" width="18" customWidth="1"/>
    <col min="4371" max="4371" width="24" customWidth="1"/>
    <col min="4604" max="4604" width="7.42578125" customWidth="1"/>
    <col min="4605" max="4605" width="22.7109375" customWidth="1"/>
    <col min="4606" max="4606" width="14.42578125" customWidth="1"/>
    <col min="4607" max="4607" width="16.42578125" customWidth="1"/>
    <col min="4608" max="4608" width="8.140625" customWidth="1"/>
    <col min="4609" max="4609" width="10.85546875" customWidth="1"/>
    <col min="4610" max="4610" width="38.85546875" customWidth="1"/>
    <col min="4611" max="4611" width="25.5703125" customWidth="1"/>
    <col min="4615" max="4615" width="44.85546875" customWidth="1"/>
    <col min="4616" max="4616" width="17.42578125" customWidth="1"/>
    <col min="4617" max="4617" width="15" customWidth="1"/>
    <col min="4618" max="4618" width="13.85546875" customWidth="1"/>
    <col min="4619" max="4619" width="13.5703125" customWidth="1"/>
    <col min="4620" max="4620" width="11.7109375" customWidth="1"/>
    <col min="4621" max="4621" width="14" customWidth="1"/>
    <col min="4622" max="4622" width="16.28515625" customWidth="1"/>
    <col min="4623" max="4623" width="12.5703125" customWidth="1"/>
    <col min="4624" max="4624" width="13.28515625" customWidth="1"/>
    <col min="4625" max="4625" width="14.85546875" customWidth="1"/>
    <col min="4626" max="4626" width="18" customWidth="1"/>
    <col min="4627" max="4627" width="24" customWidth="1"/>
    <col min="4860" max="4860" width="7.42578125" customWidth="1"/>
    <col min="4861" max="4861" width="22.7109375" customWidth="1"/>
    <col min="4862" max="4862" width="14.42578125" customWidth="1"/>
    <col min="4863" max="4863" width="16.42578125" customWidth="1"/>
    <col min="4864" max="4864" width="8.140625" customWidth="1"/>
    <col min="4865" max="4865" width="10.85546875" customWidth="1"/>
    <col min="4866" max="4866" width="38.85546875" customWidth="1"/>
    <col min="4867" max="4867" width="25.5703125" customWidth="1"/>
    <col min="4871" max="4871" width="44.85546875" customWidth="1"/>
    <col min="4872" max="4872" width="17.42578125" customWidth="1"/>
    <col min="4873" max="4873" width="15" customWidth="1"/>
    <col min="4874" max="4874" width="13.85546875" customWidth="1"/>
    <col min="4875" max="4875" width="13.5703125" customWidth="1"/>
    <col min="4876" max="4876" width="11.7109375" customWidth="1"/>
    <col min="4877" max="4877" width="14" customWidth="1"/>
    <col min="4878" max="4878" width="16.28515625" customWidth="1"/>
    <col min="4879" max="4879" width="12.5703125" customWidth="1"/>
    <col min="4880" max="4880" width="13.28515625" customWidth="1"/>
    <col min="4881" max="4881" width="14.85546875" customWidth="1"/>
    <col min="4882" max="4882" width="18" customWidth="1"/>
    <col min="4883" max="4883" width="24" customWidth="1"/>
    <col min="5116" max="5116" width="7.42578125" customWidth="1"/>
    <col min="5117" max="5117" width="22.7109375" customWidth="1"/>
    <col min="5118" max="5118" width="14.42578125" customWidth="1"/>
    <col min="5119" max="5119" width="16.42578125" customWidth="1"/>
    <col min="5120" max="5120" width="8.140625" customWidth="1"/>
    <col min="5121" max="5121" width="10.85546875" customWidth="1"/>
    <col min="5122" max="5122" width="38.85546875" customWidth="1"/>
    <col min="5123" max="5123" width="25.5703125" customWidth="1"/>
    <col min="5127" max="5127" width="44.85546875" customWidth="1"/>
    <col min="5128" max="5128" width="17.42578125" customWidth="1"/>
    <col min="5129" max="5129" width="15" customWidth="1"/>
    <col min="5130" max="5130" width="13.85546875" customWidth="1"/>
    <col min="5131" max="5131" width="13.5703125" customWidth="1"/>
    <col min="5132" max="5132" width="11.7109375" customWidth="1"/>
    <col min="5133" max="5133" width="14" customWidth="1"/>
    <col min="5134" max="5134" width="16.28515625" customWidth="1"/>
    <col min="5135" max="5135" width="12.5703125" customWidth="1"/>
    <col min="5136" max="5136" width="13.28515625" customWidth="1"/>
    <col min="5137" max="5137" width="14.85546875" customWidth="1"/>
    <col min="5138" max="5138" width="18" customWidth="1"/>
    <col min="5139" max="5139" width="24" customWidth="1"/>
    <col min="5372" max="5372" width="7.42578125" customWidth="1"/>
    <col min="5373" max="5373" width="22.7109375" customWidth="1"/>
    <col min="5374" max="5374" width="14.42578125" customWidth="1"/>
    <col min="5375" max="5375" width="16.42578125" customWidth="1"/>
    <col min="5376" max="5376" width="8.140625" customWidth="1"/>
    <col min="5377" max="5377" width="10.85546875" customWidth="1"/>
    <col min="5378" max="5378" width="38.85546875" customWidth="1"/>
    <col min="5379" max="5379" width="25.5703125" customWidth="1"/>
    <col min="5383" max="5383" width="44.85546875" customWidth="1"/>
    <col min="5384" max="5384" width="17.42578125" customWidth="1"/>
    <col min="5385" max="5385" width="15" customWidth="1"/>
    <col min="5386" max="5386" width="13.85546875" customWidth="1"/>
    <col min="5387" max="5387" width="13.5703125" customWidth="1"/>
    <col min="5388" max="5388" width="11.7109375" customWidth="1"/>
    <col min="5389" max="5389" width="14" customWidth="1"/>
    <col min="5390" max="5390" width="16.28515625" customWidth="1"/>
    <col min="5391" max="5391" width="12.5703125" customWidth="1"/>
    <col min="5392" max="5392" width="13.28515625" customWidth="1"/>
    <col min="5393" max="5393" width="14.85546875" customWidth="1"/>
    <col min="5394" max="5394" width="18" customWidth="1"/>
    <col min="5395" max="5395" width="24" customWidth="1"/>
    <col min="5628" max="5628" width="7.42578125" customWidth="1"/>
    <col min="5629" max="5629" width="22.7109375" customWidth="1"/>
    <col min="5630" max="5630" width="14.42578125" customWidth="1"/>
    <col min="5631" max="5631" width="16.42578125" customWidth="1"/>
    <col min="5632" max="5632" width="8.140625" customWidth="1"/>
    <col min="5633" max="5633" width="10.85546875" customWidth="1"/>
    <col min="5634" max="5634" width="38.85546875" customWidth="1"/>
    <col min="5635" max="5635" width="25.5703125" customWidth="1"/>
    <col min="5639" max="5639" width="44.85546875" customWidth="1"/>
    <col min="5640" max="5640" width="17.42578125" customWidth="1"/>
    <col min="5641" max="5641" width="15" customWidth="1"/>
    <col min="5642" max="5642" width="13.85546875" customWidth="1"/>
    <col min="5643" max="5643" width="13.5703125" customWidth="1"/>
    <col min="5644" max="5644" width="11.7109375" customWidth="1"/>
    <col min="5645" max="5645" width="14" customWidth="1"/>
    <col min="5646" max="5646" width="16.28515625" customWidth="1"/>
    <col min="5647" max="5647" width="12.5703125" customWidth="1"/>
    <col min="5648" max="5648" width="13.28515625" customWidth="1"/>
    <col min="5649" max="5649" width="14.85546875" customWidth="1"/>
    <col min="5650" max="5650" width="18" customWidth="1"/>
    <col min="5651" max="5651" width="24" customWidth="1"/>
    <col min="5884" max="5884" width="7.42578125" customWidth="1"/>
    <col min="5885" max="5885" width="22.7109375" customWidth="1"/>
    <col min="5886" max="5886" width="14.42578125" customWidth="1"/>
    <col min="5887" max="5887" width="16.42578125" customWidth="1"/>
    <col min="5888" max="5888" width="8.140625" customWidth="1"/>
    <col min="5889" max="5889" width="10.85546875" customWidth="1"/>
    <col min="5890" max="5890" width="38.85546875" customWidth="1"/>
    <col min="5891" max="5891" width="25.5703125" customWidth="1"/>
    <col min="5895" max="5895" width="44.85546875" customWidth="1"/>
    <col min="5896" max="5896" width="17.42578125" customWidth="1"/>
    <col min="5897" max="5897" width="15" customWidth="1"/>
    <col min="5898" max="5898" width="13.85546875" customWidth="1"/>
    <col min="5899" max="5899" width="13.5703125" customWidth="1"/>
    <col min="5900" max="5900" width="11.7109375" customWidth="1"/>
    <col min="5901" max="5901" width="14" customWidth="1"/>
    <col min="5902" max="5902" width="16.28515625" customWidth="1"/>
    <col min="5903" max="5903" width="12.5703125" customWidth="1"/>
    <col min="5904" max="5904" width="13.28515625" customWidth="1"/>
    <col min="5905" max="5905" width="14.85546875" customWidth="1"/>
    <col min="5906" max="5906" width="18" customWidth="1"/>
    <col min="5907" max="5907" width="24" customWidth="1"/>
    <col min="6140" max="6140" width="7.42578125" customWidth="1"/>
    <col min="6141" max="6141" width="22.7109375" customWidth="1"/>
    <col min="6142" max="6142" width="14.42578125" customWidth="1"/>
    <col min="6143" max="6143" width="16.42578125" customWidth="1"/>
    <col min="6144" max="6144" width="8.140625" customWidth="1"/>
    <col min="6145" max="6145" width="10.85546875" customWidth="1"/>
    <col min="6146" max="6146" width="38.85546875" customWidth="1"/>
    <col min="6147" max="6147" width="25.5703125" customWidth="1"/>
    <col min="6151" max="6151" width="44.85546875" customWidth="1"/>
    <col min="6152" max="6152" width="17.42578125" customWidth="1"/>
    <col min="6153" max="6153" width="15" customWidth="1"/>
    <col min="6154" max="6154" width="13.85546875" customWidth="1"/>
    <col min="6155" max="6155" width="13.5703125" customWidth="1"/>
    <col min="6156" max="6156" width="11.7109375" customWidth="1"/>
    <col min="6157" max="6157" width="14" customWidth="1"/>
    <col min="6158" max="6158" width="16.28515625" customWidth="1"/>
    <col min="6159" max="6159" width="12.5703125" customWidth="1"/>
    <col min="6160" max="6160" width="13.28515625" customWidth="1"/>
    <col min="6161" max="6161" width="14.85546875" customWidth="1"/>
    <col min="6162" max="6162" width="18" customWidth="1"/>
    <col min="6163" max="6163" width="24" customWidth="1"/>
    <col min="6396" max="6396" width="7.42578125" customWidth="1"/>
    <col min="6397" max="6397" width="22.7109375" customWidth="1"/>
    <col min="6398" max="6398" width="14.42578125" customWidth="1"/>
    <col min="6399" max="6399" width="16.42578125" customWidth="1"/>
    <col min="6400" max="6400" width="8.140625" customWidth="1"/>
    <col min="6401" max="6401" width="10.85546875" customWidth="1"/>
    <col min="6402" max="6402" width="38.85546875" customWidth="1"/>
    <col min="6403" max="6403" width="25.5703125" customWidth="1"/>
    <col min="6407" max="6407" width="44.85546875" customWidth="1"/>
    <col min="6408" max="6408" width="17.42578125" customWidth="1"/>
    <col min="6409" max="6409" width="15" customWidth="1"/>
    <col min="6410" max="6410" width="13.85546875" customWidth="1"/>
    <col min="6411" max="6411" width="13.5703125" customWidth="1"/>
    <col min="6412" max="6412" width="11.7109375" customWidth="1"/>
    <col min="6413" max="6413" width="14" customWidth="1"/>
    <col min="6414" max="6414" width="16.28515625" customWidth="1"/>
    <col min="6415" max="6415" width="12.5703125" customWidth="1"/>
    <col min="6416" max="6416" width="13.28515625" customWidth="1"/>
    <col min="6417" max="6417" width="14.85546875" customWidth="1"/>
    <col min="6418" max="6418" width="18" customWidth="1"/>
    <col min="6419" max="6419" width="24" customWidth="1"/>
    <col min="6652" max="6652" width="7.42578125" customWidth="1"/>
    <col min="6653" max="6653" width="22.7109375" customWidth="1"/>
    <col min="6654" max="6654" width="14.42578125" customWidth="1"/>
    <col min="6655" max="6655" width="16.42578125" customWidth="1"/>
    <col min="6656" max="6656" width="8.140625" customWidth="1"/>
    <col min="6657" max="6657" width="10.85546875" customWidth="1"/>
    <col min="6658" max="6658" width="38.85546875" customWidth="1"/>
    <col min="6659" max="6659" width="25.5703125" customWidth="1"/>
    <col min="6663" max="6663" width="44.85546875" customWidth="1"/>
    <col min="6664" max="6664" width="17.42578125" customWidth="1"/>
    <col min="6665" max="6665" width="15" customWidth="1"/>
    <col min="6666" max="6666" width="13.85546875" customWidth="1"/>
    <col min="6667" max="6667" width="13.5703125" customWidth="1"/>
    <col min="6668" max="6668" width="11.7109375" customWidth="1"/>
    <col min="6669" max="6669" width="14" customWidth="1"/>
    <col min="6670" max="6670" width="16.28515625" customWidth="1"/>
    <col min="6671" max="6671" width="12.5703125" customWidth="1"/>
    <col min="6672" max="6672" width="13.28515625" customWidth="1"/>
    <col min="6673" max="6673" width="14.85546875" customWidth="1"/>
    <col min="6674" max="6674" width="18" customWidth="1"/>
    <col min="6675" max="6675" width="24" customWidth="1"/>
    <col min="6908" max="6908" width="7.42578125" customWidth="1"/>
    <col min="6909" max="6909" width="22.7109375" customWidth="1"/>
    <col min="6910" max="6910" width="14.42578125" customWidth="1"/>
    <col min="6911" max="6911" width="16.42578125" customWidth="1"/>
    <col min="6912" max="6912" width="8.140625" customWidth="1"/>
    <col min="6913" max="6913" width="10.85546875" customWidth="1"/>
    <col min="6914" max="6914" width="38.85546875" customWidth="1"/>
    <col min="6915" max="6915" width="25.5703125" customWidth="1"/>
    <col min="6919" max="6919" width="44.85546875" customWidth="1"/>
    <col min="6920" max="6920" width="17.42578125" customWidth="1"/>
    <col min="6921" max="6921" width="15" customWidth="1"/>
    <col min="6922" max="6922" width="13.85546875" customWidth="1"/>
    <col min="6923" max="6923" width="13.5703125" customWidth="1"/>
    <col min="6924" max="6924" width="11.7109375" customWidth="1"/>
    <col min="6925" max="6925" width="14" customWidth="1"/>
    <col min="6926" max="6926" width="16.28515625" customWidth="1"/>
    <col min="6927" max="6927" width="12.5703125" customWidth="1"/>
    <col min="6928" max="6928" width="13.28515625" customWidth="1"/>
    <col min="6929" max="6929" width="14.85546875" customWidth="1"/>
    <col min="6930" max="6930" width="18" customWidth="1"/>
    <col min="6931" max="6931" width="24" customWidth="1"/>
    <col min="7164" max="7164" width="7.42578125" customWidth="1"/>
    <col min="7165" max="7165" width="22.7109375" customWidth="1"/>
    <col min="7166" max="7166" width="14.42578125" customWidth="1"/>
    <col min="7167" max="7167" width="16.42578125" customWidth="1"/>
    <col min="7168" max="7168" width="8.140625" customWidth="1"/>
    <col min="7169" max="7169" width="10.85546875" customWidth="1"/>
    <col min="7170" max="7170" width="38.85546875" customWidth="1"/>
    <col min="7171" max="7171" width="25.5703125" customWidth="1"/>
    <col min="7175" max="7175" width="44.85546875" customWidth="1"/>
    <col min="7176" max="7176" width="17.42578125" customWidth="1"/>
    <col min="7177" max="7177" width="15" customWidth="1"/>
    <col min="7178" max="7178" width="13.85546875" customWidth="1"/>
    <col min="7179" max="7179" width="13.5703125" customWidth="1"/>
    <col min="7180" max="7180" width="11.7109375" customWidth="1"/>
    <col min="7181" max="7181" width="14" customWidth="1"/>
    <col min="7182" max="7182" width="16.28515625" customWidth="1"/>
    <col min="7183" max="7183" width="12.5703125" customWidth="1"/>
    <col min="7184" max="7184" width="13.28515625" customWidth="1"/>
    <col min="7185" max="7185" width="14.85546875" customWidth="1"/>
    <col min="7186" max="7186" width="18" customWidth="1"/>
    <col min="7187" max="7187" width="24" customWidth="1"/>
    <col min="7420" max="7420" width="7.42578125" customWidth="1"/>
    <col min="7421" max="7421" width="22.7109375" customWidth="1"/>
    <col min="7422" max="7422" width="14.42578125" customWidth="1"/>
    <col min="7423" max="7423" width="16.42578125" customWidth="1"/>
    <col min="7424" max="7424" width="8.140625" customWidth="1"/>
    <col min="7425" max="7425" width="10.85546875" customWidth="1"/>
    <col min="7426" max="7426" width="38.85546875" customWidth="1"/>
    <col min="7427" max="7427" width="25.5703125" customWidth="1"/>
    <col min="7431" max="7431" width="44.85546875" customWidth="1"/>
    <col min="7432" max="7432" width="17.42578125" customWidth="1"/>
    <col min="7433" max="7433" width="15" customWidth="1"/>
    <col min="7434" max="7434" width="13.85546875" customWidth="1"/>
    <col min="7435" max="7435" width="13.5703125" customWidth="1"/>
    <col min="7436" max="7436" width="11.7109375" customWidth="1"/>
    <col min="7437" max="7437" width="14" customWidth="1"/>
    <col min="7438" max="7438" width="16.28515625" customWidth="1"/>
    <col min="7439" max="7439" width="12.5703125" customWidth="1"/>
    <col min="7440" max="7440" width="13.28515625" customWidth="1"/>
    <col min="7441" max="7441" width="14.85546875" customWidth="1"/>
    <col min="7442" max="7442" width="18" customWidth="1"/>
    <col min="7443" max="7443" width="24" customWidth="1"/>
    <col min="7676" max="7676" width="7.42578125" customWidth="1"/>
    <col min="7677" max="7677" width="22.7109375" customWidth="1"/>
    <col min="7678" max="7678" width="14.42578125" customWidth="1"/>
    <col min="7679" max="7679" width="16.42578125" customWidth="1"/>
    <col min="7680" max="7680" width="8.140625" customWidth="1"/>
    <col min="7681" max="7681" width="10.85546875" customWidth="1"/>
    <col min="7682" max="7682" width="38.85546875" customWidth="1"/>
    <col min="7683" max="7683" width="25.5703125" customWidth="1"/>
    <col min="7687" max="7687" width="44.85546875" customWidth="1"/>
    <col min="7688" max="7688" width="17.42578125" customWidth="1"/>
    <col min="7689" max="7689" width="15" customWidth="1"/>
    <col min="7690" max="7690" width="13.85546875" customWidth="1"/>
    <col min="7691" max="7691" width="13.5703125" customWidth="1"/>
    <col min="7692" max="7692" width="11.7109375" customWidth="1"/>
    <col min="7693" max="7693" width="14" customWidth="1"/>
    <col min="7694" max="7694" width="16.28515625" customWidth="1"/>
    <col min="7695" max="7695" width="12.5703125" customWidth="1"/>
    <col min="7696" max="7696" width="13.28515625" customWidth="1"/>
    <col min="7697" max="7697" width="14.85546875" customWidth="1"/>
    <col min="7698" max="7698" width="18" customWidth="1"/>
    <col min="7699" max="7699" width="24" customWidth="1"/>
    <col min="7932" max="7932" width="7.42578125" customWidth="1"/>
    <col min="7933" max="7933" width="22.7109375" customWidth="1"/>
    <col min="7934" max="7934" width="14.42578125" customWidth="1"/>
    <col min="7935" max="7935" width="16.42578125" customWidth="1"/>
    <col min="7936" max="7936" width="8.140625" customWidth="1"/>
    <col min="7937" max="7937" width="10.85546875" customWidth="1"/>
    <col min="7938" max="7938" width="38.85546875" customWidth="1"/>
    <col min="7939" max="7939" width="25.5703125" customWidth="1"/>
    <col min="7943" max="7943" width="44.85546875" customWidth="1"/>
    <col min="7944" max="7944" width="17.42578125" customWidth="1"/>
    <col min="7945" max="7945" width="15" customWidth="1"/>
    <col min="7946" max="7946" width="13.85546875" customWidth="1"/>
    <col min="7947" max="7947" width="13.5703125" customWidth="1"/>
    <col min="7948" max="7948" width="11.7109375" customWidth="1"/>
    <col min="7949" max="7949" width="14" customWidth="1"/>
    <col min="7950" max="7950" width="16.28515625" customWidth="1"/>
    <col min="7951" max="7951" width="12.5703125" customWidth="1"/>
    <col min="7952" max="7952" width="13.28515625" customWidth="1"/>
    <col min="7953" max="7953" width="14.85546875" customWidth="1"/>
    <col min="7954" max="7954" width="18" customWidth="1"/>
    <col min="7955" max="7955" width="24" customWidth="1"/>
    <col min="8188" max="8188" width="7.42578125" customWidth="1"/>
    <col min="8189" max="8189" width="22.7109375" customWidth="1"/>
    <col min="8190" max="8190" width="14.42578125" customWidth="1"/>
    <col min="8191" max="8191" width="16.42578125" customWidth="1"/>
    <col min="8192" max="8192" width="8.140625" customWidth="1"/>
    <col min="8193" max="8193" width="10.85546875" customWidth="1"/>
    <col min="8194" max="8194" width="38.85546875" customWidth="1"/>
    <col min="8195" max="8195" width="25.5703125" customWidth="1"/>
    <col min="8199" max="8199" width="44.85546875" customWidth="1"/>
    <col min="8200" max="8200" width="17.42578125" customWidth="1"/>
    <col min="8201" max="8201" width="15" customWidth="1"/>
    <col min="8202" max="8202" width="13.85546875" customWidth="1"/>
    <col min="8203" max="8203" width="13.5703125" customWidth="1"/>
    <col min="8204" max="8204" width="11.7109375" customWidth="1"/>
    <col min="8205" max="8205" width="14" customWidth="1"/>
    <col min="8206" max="8206" width="16.28515625" customWidth="1"/>
    <col min="8207" max="8207" width="12.5703125" customWidth="1"/>
    <col min="8208" max="8208" width="13.28515625" customWidth="1"/>
    <col min="8209" max="8209" width="14.85546875" customWidth="1"/>
    <col min="8210" max="8210" width="18" customWidth="1"/>
    <col min="8211" max="8211" width="24" customWidth="1"/>
    <col min="8444" max="8444" width="7.42578125" customWidth="1"/>
    <col min="8445" max="8445" width="22.7109375" customWidth="1"/>
    <col min="8446" max="8446" width="14.42578125" customWidth="1"/>
    <col min="8447" max="8447" width="16.42578125" customWidth="1"/>
    <col min="8448" max="8448" width="8.140625" customWidth="1"/>
    <col min="8449" max="8449" width="10.85546875" customWidth="1"/>
    <col min="8450" max="8450" width="38.85546875" customWidth="1"/>
    <col min="8451" max="8451" width="25.5703125" customWidth="1"/>
    <col min="8455" max="8455" width="44.85546875" customWidth="1"/>
    <col min="8456" max="8456" width="17.42578125" customWidth="1"/>
    <col min="8457" max="8457" width="15" customWidth="1"/>
    <col min="8458" max="8458" width="13.85546875" customWidth="1"/>
    <col min="8459" max="8459" width="13.5703125" customWidth="1"/>
    <col min="8460" max="8460" width="11.7109375" customWidth="1"/>
    <col min="8461" max="8461" width="14" customWidth="1"/>
    <col min="8462" max="8462" width="16.28515625" customWidth="1"/>
    <col min="8463" max="8463" width="12.5703125" customWidth="1"/>
    <col min="8464" max="8464" width="13.28515625" customWidth="1"/>
    <col min="8465" max="8465" width="14.85546875" customWidth="1"/>
    <col min="8466" max="8466" width="18" customWidth="1"/>
    <col min="8467" max="8467" width="24" customWidth="1"/>
    <col min="8700" max="8700" width="7.42578125" customWidth="1"/>
    <col min="8701" max="8701" width="22.7109375" customWidth="1"/>
    <col min="8702" max="8702" width="14.42578125" customWidth="1"/>
    <col min="8703" max="8703" width="16.42578125" customWidth="1"/>
    <col min="8704" max="8704" width="8.140625" customWidth="1"/>
    <col min="8705" max="8705" width="10.85546875" customWidth="1"/>
    <col min="8706" max="8706" width="38.85546875" customWidth="1"/>
    <col min="8707" max="8707" width="25.5703125" customWidth="1"/>
    <col min="8711" max="8711" width="44.85546875" customWidth="1"/>
    <col min="8712" max="8712" width="17.42578125" customWidth="1"/>
    <col min="8713" max="8713" width="15" customWidth="1"/>
    <col min="8714" max="8714" width="13.85546875" customWidth="1"/>
    <col min="8715" max="8715" width="13.5703125" customWidth="1"/>
    <col min="8716" max="8716" width="11.7109375" customWidth="1"/>
    <col min="8717" max="8717" width="14" customWidth="1"/>
    <col min="8718" max="8718" width="16.28515625" customWidth="1"/>
    <col min="8719" max="8719" width="12.5703125" customWidth="1"/>
    <col min="8720" max="8720" width="13.28515625" customWidth="1"/>
    <col min="8721" max="8721" width="14.85546875" customWidth="1"/>
    <col min="8722" max="8722" width="18" customWidth="1"/>
    <col min="8723" max="8723" width="24" customWidth="1"/>
    <col min="8956" max="8956" width="7.42578125" customWidth="1"/>
    <col min="8957" max="8957" width="22.7109375" customWidth="1"/>
    <col min="8958" max="8958" width="14.42578125" customWidth="1"/>
    <col min="8959" max="8959" width="16.42578125" customWidth="1"/>
    <col min="8960" max="8960" width="8.140625" customWidth="1"/>
    <col min="8961" max="8961" width="10.85546875" customWidth="1"/>
    <col min="8962" max="8962" width="38.85546875" customWidth="1"/>
    <col min="8963" max="8963" width="25.5703125" customWidth="1"/>
    <col min="8967" max="8967" width="44.85546875" customWidth="1"/>
    <col min="8968" max="8968" width="17.42578125" customWidth="1"/>
    <col min="8969" max="8969" width="15" customWidth="1"/>
    <col min="8970" max="8970" width="13.85546875" customWidth="1"/>
    <col min="8971" max="8971" width="13.5703125" customWidth="1"/>
    <col min="8972" max="8972" width="11.7109375" customWidth="1"/>
    <col min="8973" max="8973" width="14" customWidth="1"/>
    <col min="8974" max="8974" width="16.28515625" customWidth="1"/>
    <col min="8975" max="8975" width="12.5703125" customWidth="1"/>
    <col min="8976" max="8976" width="13.28515625" customWidth="1"/>
    <col min="8977" max="8977" width="14.85546875" customWidth="1"/>
    <col min="8978" max="8978" width="18" customWidth="1"/>
    <col min="8979" max="8979" width="24" customWidth="1"/>
    <col min="9212" max="9212" width="7.42578125" customWidth="1"/>
    <col min="9213" max="9213" width="22.7109375" customWidth="1"/>
    <col min="9214" max="9214" width="14.42578125" customWidth="1"/>
    <col min="9215" max="9215" width="16.42578125" customWidth="1"/>
    <col min="9216" max="9216" width="8.140625" customWidth="1"/>
    <col min="9217" max="9217" width="10.85546875" customWidth="1"/>
    <col min="9218" max="9218" width="38.85546875" customWidth="1"/>
    <col min="9219" max="9219" width="25.5703125" customWidth="1"/>
    <col min="9223" max="9223" width="44.85546875" customWidth="1"/>
    <col min="9224" max="9224" width="17.42578125" customWidth="1"/>
    <col min="9225" max="9225" width="15" customWidth="1"/>
    <col min="9226" max="9226" width="13.85546875" customWidth="1"/>
    <col min="9227" max="9227" width="13.5703125" customWidth="1"/>
    <col min="9228" max="9228" width="11.7109375" customWidth="1"/>
    <col min="9229" max="9229" width="14" customWidth="1"/>
    <col min="9230" max="9230" width="16.28515625" customWidth="1"/>
    <col min="9231" max="9231" width="12.5703125" customWidth="1"/>
    <col min="9232" max="9232" width="13.28515625" customWidth="1"/>
    <col min="9233" max="9233" width="14.85546875" customWidth="1"/>
    <col min="9234" max="9234" width="18" customWidth="1"/>
    <col min="9235" max="9235" width="24" customWidth="1"/>
    <col min="9468" max="9468" width="7.42578125" customWidth="1"/>
    <col min="9469" max="9469" width="22.7109375" customWidth="1"/>
    <col min="9470" max="9470" width="14.42578125" customWidth="1"/>
    <col min="9471" max="9471" width="16.42578125" customWidth="1"/>
    <col min="9472" max="9472" width="8.140625" customWidth="1"/>
    <col min="9473" max="9473" width="10.85546875" customWidth="1"/>
    <col min="9474" max="9474" width="38.85546875" customWidth="1"/>
    <col min="9475" max="9475" width="25.5703125" customWidth="1"/>
    <col min="9479" max="9479" width="44.85546875" customWidth="1"/>
    <col min="9480" max="9480" width="17.42578125" customWidth="1"/>
    <col min="9481" max="9481" width="15" customWidth="1"/>
    <col min="9482" max="9482" width="13.85546875" customWidth="1"/>
    <col min="9483" max="9483" width="13.5703125" customWidth="1"/>
    <col min="9484" max="9484" width="11.7109375" customWidth="1"/>
    <col min="9485" max="9485" width="14" customWidth="1"/>
    <col min="9486" max="9486" width="16.28515625" customWidth="1"/>
    <col min="9487" max="9487" width="12.5703125" customWidth="1"/>
    <col min="9488" max="9488" width="13.28515625" customWidth="1"/>
    <col min="9489" max="9489" width="14.85546875" customWidth="1"/>
    <col min="9490" max="9490" width="18" customWidth="1"/>
    <col min="9491" max="9491" width="24" customWidth="1"/>
    <col min="9724" max="9724" width="7.42578125" customWidth="1"/>
    <col min="9725" max="9725" width="22.7109375" customWidth="1"/>
    <col min="9726" max="9726" width="14.42578125" customWidth="1"/>
    <col min="9727" max="9727" width="16.42578125" customWidth="1"/>
    <col min="9728" max="9728" width="8.140625" customWidth="1"/>
    <col min="9729" max="9729" width="10.85546875" customWidth="1"/>
    <col min="9730" max="9730" width="38.85546875" customWidth="1"/>
    <col min="9731" max="9731" width="25.5703125" customWidth="1"/>
    <col min="9735" max="9735" width="44.85546875" customWidth="1"/>
    <col min="9736" max="9736" width="17.42578125" customWidth="1"/>
    <col min="9737" max="9737" width="15" customWidth="1"/>
    <col min="9738" max="9738" width="13.85546875" customWidth="1"/>
    <col min="9739" max="9739" width="13.5703125" customWidth="1"/>
    <col min="9740" max="9740" width="11.7109375" customWidth="1"/>
    <col min="9741" max="9741" width="14" customWidth="1"/>
    <col min="9742" max="9742" width="16.28515625" customWidth="1"/>
    <col min="9743" max="9743" width="12.5703125" customWidth="1"/>
    <col min="9744" max="9744" width="13.28515625" customWidth="1"/>
    <col min="9745" max="9745" width="14.85546875" customWidth="1"/>
    <col min="9746" max="9746" width="18" customWidth="1"/>
    <col min="9747" max="9747" width="24" customWidth="1"/>
    <col min="9980" max="9980" width="7.42578125" customWidth="1"/>
    <col min="9981" max="9981" width="22.7109375" customWidth="1"/>
    <col min="9982" max="9982" width="14.42578125" customWidth="1"/>
    <col min="9983" max="9983" width="16.42578125" customWidth="1"/>
    <col min="9984" max="9984" width="8.140625" customWidth="1"/>
    <col min="9985" max="9985" width="10.85546875" customWidth="1"/>
    <col min="9986" max="9986" width="38.85546875" customWidth="1"/>
    <col min="9987" max="9987" width="25.5703125" customWidth="1"/>
    <col min="9991" max="9991" width="44.85546875" customWidth="1"/>
    <col min="9992" max="9992" width="17.42578125" customWidth="1"/>
    <col min="9993" max="9993" width="15" customWidth="1"/>
    <col min="9994" max="9994" width="13.85546875" customWidth="1"/>
    <col min="9995" max="9995" width="13.5703125" customWidth="1"/>
    <col min="9996" max="9996" width="11.7109375" customWidth="1"/>
    <col min="9997" max="9997" width="14" customWidth="1"/>
    <col min="9998" max="9998" width="16.28515625" customWidth="1"/>
    <col min="9999" max="9999" width="12.5703125" customWidth="1"/>
    <col min="10000" max="10000" width="13.28515625" customWidth="1"/>
    <col min="10001" max="10001" width="14.85546875" customWidth="1"/>
    <col min="10002" max="10002" width="18" customWidth="1"/>
    <col min="10003" max="10003" width="24" customWidth="1"/>
    <col min="10236" max="10236" width="7.42578125" customWidth="1"/>
    <col min="10237" max="10237" width="22.7109375" customWidth="1"/>
    <col min="10238" max="10238" width="14.42578125" customWidth="1"/>
    <col min="10239" max="10239" width="16.42578125" customWidth="1"/>
    <col min="10240" max="10240" width="8.140625" customWidth="1"/>
    <col min="10241" max="10241" width="10.85546875" customWidth="1"/>
    <col min="10242" max="10242" width="38.85546875" customWidth="1"/>
    <col min="10243" max="10243" width="25.5703125" customWidth="1"/>
    <col min="10247" max="10247" width="44.85546875" customWidth="1"/>
    <col min="10248" max="10248" width="17.42578125" customWidth="1"/>
    <col min="10249" max="10249" width="15" customWidth="1"/>
    <col min="10250" max="10250" width="13.85546875" customWidth="1"/>
    <col min="10251" max="10251" width="13.5703125" customWidth="1"/>
    <col min="10252" max="10252" width="11.7109375" customWidth="1"/>
    <col min="10253" max="10253" width="14" customWidth="1"/>
    <col min="10254" max="10254" width="16.28515625" customWidth="1"/>
    <col min="10255" max="10255" width="12.5703125" customWidth="1"/>
    <col min="10256" max="10256" width="13.28515625" customWidth="1"/>
    <col min="10257" max="10257" width="14.85546875" customWidth="1"/>
    <col min="10258" max="10258" width="18" customWidth="1"/>
    <col min="10259" max="10259" width="24" customWidth="1"/>
    <col min="10492" max="10492" width="7.42578125" customWidth="1"/>
    <col min="10493" max="10493" width="22.7109375" customWidth="1"/>
    <col min="10494" max="10494" width="14.42578125" customWidth="1"/>
    <col min="10495" max="10495" width="16.42578125" customWidth="1"/>
    <col min="10496" max="10496" width="8.140625" customWidth="1"/>
    <col min="10497" max="10497" width="10.85546875" customWidth="1"/>
    <col min="10498" max="10498" width="38.85546875" customWidth="1"/>
    <col min="10499" max="10499" width="25.5703125" customWidth="1"/>
    <col min="10503" max="10503" width="44.85546875" customWidth="1"/>
    <col min="10504" max="10504" width="17.42578125" customWidth="1"/>
    <col min="10505" max="10505" width="15" customWidth="1"/>
    <col min="10506" max="10506" width="13.85546875" customWidth="1"/>
    <col min="10507" max="10507" width="13.5703125" customWidth="1"/>
    <col min="10508" max="10508" width="11.7109375" customWidth="1"/>
    <col min="10509" max="10509" width="14" customWidth="1"/>
    <col min="10510" max="10510" width="16.28515625" customWidth="1"/>
    <col min="10511" max="10511" width="12.5703125" customWidth="1"/>
    <col min="10512" max="10512" width="13.28515625" customWidth="1"/>
    <col min="10513" max="10513" width="14.85546875" customWidth="1"/>
    <col min="10514" max="10514" width="18" customWidth="1"/>
    <col min="10515" max="10515" width="24" customWidth="1"/>
    <col min="10748" max="10748" width="7.42578125" customWidth="1"/>
    <col min="10749" max="10749" width="22.7109375" customWidth="1"/>
    <col min="10750" max="10750" width="14.42578125" customWidth="1"/>
    <col min="10751" max="10751" width="16.42578125" customWidth="1"/>
    <col min="10752" max="10752" width="8.140625" customWidth="1"/>
    <col min="10753" max="10753" width="10.85546875" customWidth="1"/>
    <col min="10754" max="10754" width="38.85546875" customWidth="1"/>
    <col min="10755" max="10755" width="25.5703125" customWidth="1"/>
    <col min="10759" max="10759" width="44.85546875" customWidth="1"/>
    <col min="10760" max="10760" width="17.42578125" customWidth="1"/>
    <col min="10761" max="10761" width="15" customWidth="1"/>
    <col min="10762" max="10762" width="13.85546875" customWidth="1"/>
    <col min="10763" max="10763" width="13.5703125" customWidth="1"/>
    <col min="10764" max="10764" width="11.7109375" customWidth="1"/>
    <col min="10765" max="10765" width="14" customWidth="1"/>
    <col min="10766" max="10766" width="16.28515625" customWidth="1"/>
    <col min="10767" max="10767" width="12.5703125" customWidth="1"/>
    <col min="10768" max="10768" width="13.28515625" customWidth="1"/>
    <col min="10769" max="10769" width="14.85546875" customWidth="1"/>
    <col min="10770" max="10770" width="18" customWidth="1"/>
    <col min="10771" max="10771" width="24" customWidth="1"/>
    <col min="11004" max="11004" width="7.42578125" customWidth="1"/>
    <col min="11005" max="11005" width="22.7109375" customWidth="1"/>
    <col min="11006" max="11006" width="14.42578125" customWidth="1"/>
    <col min="11007" max="11007" width="16.42578125" customWidth="1"/>
    <col min="11008" max="11008" width="8.140625" customWidth="1"/>
    <col min="11009" max="11009" width="10.85546875" customWidth="1"/>
    <col min="11010" max="11010" width="38.85546875" customWidth="1"/>
    <col min="11011" max="11011" width="25.5703125" customWidth="1"/>
    <col min="11015" max="11015" width="44.85546875" customWidth="1"/>
    <col min="11016" max="11016" width="17.42578125" customWidth="1"/>
    <col min="11017" max="11017" width="15" customWidth="1"/>
    <col min="11018" max="11018" width="13.85546875" customWidth="1"/>
    <col min="11019" max="11019" width="13.5703125" customWidth="1"/>
    <col min="11020" max="11020" width="11.7109375" customWidth="1"/>
    <col min="11021" max="11021" width="14" customWidth="1"/>
    <col min="11022" max="11022" width="16.28515625" customWidth="1"/>
    <col min="11023" max="11023" width="12.5703125" customWidth="1"/>
    <col min="11024" max="11024" width="13.28515625" customWidth="1"/>
    <col min="11025" max="11025" width="14.85546875" customWidth="1"/>
    <col min="11026" max="11026" width="18" customWidth="1"/>
    <col min="11027" max="11027" width="24" customWidth="1"/>
    <col min="11260" max="11260" width="7.42578125" customWidth="1"/>
    <col min="11261" max="11261" width="22.7109375" customWidth="1"/>
    <col min="11262" max="11262" width="14.42578125" customWidth="1"/>
    <col min="11263" max="11263" width="16.42578125" customWidth="1"/>
    <col min="11264" max="11264" width="8.140625" customWidth="1"/>
    <col min="11265" max="11265" width="10.85546875" customWidth="1"/>
    <col min="11266" max="11266" width="38.85546875" customWidth="1"/>
    <col min="11267" max="11267" width="25.5703125" customWidth="1"/>
    <col min="11271" max="11271" width="44.85546875" customWidth="1"/>
    <col min="11272" max="11272" width="17.42578125" customWidth="1"/>
    <col min="11273" max="11273" width="15" customWidth="1"/>
    <col min="11274" max="11274" width="13.85546875" customWidth="1"/>
    <col min="11275" max="11275" width="13.5703125" customWidth="1"/>
    <col min="11276" max="11276" width="11.7109375" customWidth="1"/>
    <col min="11277" max="11277" width="14" customWidth="1"/>
    <col min="11278" max="11278" width="16.28515625" customWidth="1"/>
    <col min="11279" max="11279" width="12.5703125" customWidth="1"/>
    <col min="11280" max="11280" width="13.28515625" customWidth="1"/>
    <col min="11281" max="11281" width="14.85546875" customWidth="1"/>
    <col min="11282" max="11282" width="18" customWidth="1"/>
    <col min="11283" max="11283" width="24" customWidth="1"/>
    <col min="11516" max="11516" width="7.42578125" customWidth="1"/>
    <col min="11517" max="11517" width="22.7109375" customWidth="1"/>
    <col min="11518" max="11518" width="14.42578125" customWidth="1"/>
    <col min="11519" max="11519" width="16.42578125" customWidth="1"/>
    <col min="11520" max="11520" width="8.140625" customWidth="1"/>
    <col min="11521" max="11521" width="10.85546875" customWidth="1"/>
    <col min="11522" max="11522" width="38.85546875" customWidth="1"/>
    <col min="11523" max="11523" width="25.5703125" customWidth="1"/>
    <col min="11527" max="11527" width="44.85546875" customWidth="1"/>
    <col min="11528" max="11528" width="17.42578125" customWidth="1"/>
    <col min="11529" max="11529" width="15" customWidth="1"/>
    <col min="11530" max="11530" width="13.85546875" customWidth="1"/>
    <col min="11531" max="11531" width="13.5703125" customWidth="1"/>
    <col min="11532" max="11532" width="11.7109375" customWidth="1"/>
    <col min="11533" max="11533" width="14" customWidth="1"/>
    <col min="11534" max="11534" width="16.28515625" customWidth="1"/>
    <col min="11535" max="11535" width="12.5703125" customWidth="1"/>
    <col min="11536" max="11536" width="13.28515625" customWidth="1"/>
    <col min="11537" max="11537" width="14.85546875" customWidth="1"/>
    <col min="11538" max="11538" width="18" customWidth="1"/>
    <col min="11539" max="11539" width="24" customWidth="1"/>
    <col min="11772" max="11772" width="7.42578125" customWidth="1"/>
    <col min="11773" max="11773" width="22.7109375" customWidth="1"/>
    <col min="11774" max="11774" width="14.42578125" customWidth="1"/>
    <col min="11775" max="11775" width="16.42578125" customWidth="1"/>
    <col min="11776" max="11776" width="8.140625" customWidth="1"/>
    <col min="11777" max="11777" width="10.85546875" customWidth="1"/>
    <col min="11778" max="11778" width="38.85546875" customWidth="1"/>
    <col min="11779" max="11779" width="25.5703125" customWidth="1"/>
    <col min="11783" max="11783" width="44.85546875" customWidth="1"/>
    <col min="11784" max="11784" width="17.42578125" customWidth="1"/>
    <col min="11785" max="11785" width="15" customWidth="1"/>
    <col min="11786" max="11786" width="13.85546875" customWidth="1"/>
    <col min="11787" max="11787" width="13.5703125" customWidth="1"/>
    <col min="11788" max="11788" width="11.7109375" customWidth="1"/>
    <col min="11789" max="11789" width="14" customWidth="1"/>
    <col min="11790" max="11790" width="16.28515625" customWidth="1"/>
    <col min="11791" max="11791" width="12.5703125" customWidth="1"/>
    <col min="11792" max="11792" width="13.28515625" customWidth="1"/>
    <col min="11793" max="11793" width="14.85546875" customWidth="1"/>
    <col min="11794" max="11794" width="18" customWidth="1"/>
    <col min="11795" max="11795" width="24" customWidth="1"/>
    <col min="12028" max="12028" width="7.42578125" customWidth="1"/>
    <col min="12029" max="12029" width="22.7109375" customWidth="1"/>
    <col min="12030" max="12030" width="14.42578125" customWidth="1"/>
    <col min="12031" max="12031" width="16.42578125" customWidth="1"/>
    <col min="12032" max="12032" width="8.140625" customWidth="1"/>
    <col min="12033" max="12033" width="10.85546875" customWidth="1"/>
    <col min="12034" max="12034" width="38.85546875" customWidth="1"/>
    <col min="12035" max="12035" width="25.5703125" customWidth="1"/>
    <col min="12039" max="12039" width="44.85546875" customWidth="1"/>
    <col min="12040" max="12040" width="17.42578125" customWidth="1"/>
    <col min="12041" max="12041" width="15" customWidth="1"/>
    <col min="12042" max="12042" width="13.85546875" customWidth="1"/>
    <col min="12043" max="12043" width="13.5703125" customWidth="1"/>
    <col min="12044" max="12044" width="11.7109375" customWidth="1"/>
    <col min="12045" max="12045" width="14" customWidth="1"/>
    <col min="12046" max="12046" width="16.28515625" customWidth="1"/>
    <col min="12047" max="12047" width="12.5703125" customWidth="1"/>
    <col min="12048" max="12048" width="13.28515625" customWidth="1"/>
    <col min="12049" max="12049" width="14.85546875" customWidth="1"/>
    <col min="12050" max="12050" width="18" customWidth="1"/>
    <col min="12051" max="12051" width="24" customWidth="1"/>
    <col min="12284" max="12284" width="7.42578125" customWidth="1"/>
    <col min="12285" max="12285" width="22.7109375" customWidth="1"/>
    <col min="12286" max="12286" width="14.42578125" customWidth="1"/>
    <col min="12287" max="12287" width="16.42578125" customWidth="1"/>
    <col min="12288" max="12288" width="8.140625" customWidth="1"/>
    <col min="12289" max="12289" width="10.85546875" customWidth="1"/>
    <col min="12290" max="12290" width="38.85546875" customWidth="1"/>
    <col min="12291" max="12291" width="25.5703125" customWidth="1"/>
    <col min="12295" max="12295" width="44.85546875" customWidth="1"/>
    <col min="12296" max="12296" width="17.42578125" customWidth="1"/>
    <col min="12297" max="12297" width="15" customWidth="1"/>
    <col min="12298" max="12298" width="13.85546875" customWidth="1"/>
    <col min="12299" max="12299" width="13.5703125" customWidth="1"/>
    <col min="12300" max="12300" width="11.7109375" customWidth="1"/>
    <col min="12301" max="12301" width="14" customWidth="1"/>
    <col min="12302" max="12302" width="16.28515625" customWidth="1"/>
    <col min="12303" max="12303" width="12.5703125" customWidth="1"/>
    <col min="12304" max="12304" width="13.28515625" customWidth="1"/>
    <col min="12305" max="12305" width="14.85546875" customWidth="1"/>
    <col min="12306" max="12306" width="18" customWidth="1"/>
    <col min="12307" max="12307" width="24" customWidth="1"/>
    <col min="12540" max="12540" width="7.42578125" customWidth="1"/>
    <col min="12541" max="12541" width="22.7109375" customWidth="1"/>
    <col min="12542" max="12542" width="14.42578125" customWidth="1"/>
    <col min="12543" max="12543" width="16.42578125" customWidth="1"/>
    <col min="12544" max="12544" width="8.140625" customWidth="1"/>
    <col min="12545" max="12545" width="10.85546875" customWidth="1"/>
    <col min="12546" max="12546" width="38.85546875" customWidth="1"/>
    <col min="12547" max="12547" width="25.5703125" customWidth="1"/>
    <col min="12551" max="12551" width="44.85546875" customWidth="1"/>
    <col min="12552" max="12552" width="17.42578125" customWidth="1"/>
    <col min="12553" max="12553" width="15" customWidth="1"/>
    <col min="12554" max="12554" width="13.85546875" customWidth="1"/>
    <col min="12555" max="12555" width="13.5703125" customWidth="1"/>
    <col min="12556" max="12556" width="11.7109375" customWidth="1"/>
    <col min="12557" max="12557" width="14" customWidth="1"/>
    <col min="12558" max="12558" width="16.28515625" customWidth="1"/>
    <col min="12559" max="12559" width="12.5703125" customWidth="1"/>
    <col min="12560" max="12560" width="13.28515625" customWidth="1"/>
    <col min="12561" max="12561" width="14.85546875" customWidth="1"/>
    <col min="12562" max="12562" width="18" customWidth="1"/>
    <col min="12563" max="12563" width="24" customWidth="1"/>
    <col min="12796" max="12796" width="7.42578125" customWidth="1"/>
    <col min="12797" max="12797" width="22.7109375" customWidth="1"/>
    <col min="12798" max="12798" width="14.42578125" customWidth="1"/>
    <col min="12799" max="12799" width="16.42578125" customWidth="1"/>
    <col min="12800" max="12800" width="8.140625" customWidth="1"/>
    <col min="12801" max="12801" width="10.85546875" customWidth="1"/>
    <col min="12802" max="12802" width="38.85546875" customWidth="1"/>
    <col min="12803" max="12803" width="25.5703125" customWidth="1"/>
    <col min="12807" max="12807" width="44.85546875" customWidth="1"/>
    <col min="12808" max="12808" width="17.42578125" customWidth="1"/>
    <col min="12809" max="12809" width="15" customWidth="1"/>
    <col min="12810" max="12810" width="13.85546875" customWidth="1"/>
    <col min="12811" max="12811" width="13.5703125" customWidth="1"/>
    <col min="12812" max="12812" width="11.7109375" customWidth="1"/>
    <col min="12813" max="12813" width="14" customWidth="1"/>
    <col min="12814" max="12814" width="16.28515625" customWidth="1"/>
    <col min="12815" max="12815" width="12.5703125" customWidth="1"/>
    <col min="12816" max="12816" width="13.28515625" customWidth="1"/>
    <col min="12817" max="12817" width="14.85546875" customWidth="1"/>
    <col min="12818" max="12818" width="18" customWidth="1"/>
    <col min="12819" max="12819" width="24" customWidth="1"/>
    <col min="13052" max="13052" width="7.42578125" customWidth="1"/>
    <col min="13053" max="13053" width="22.7109375" customWidth="1"/>
    <col min="13054" max="13054" width="14.42578125" customWidth="1"/>
    <col min="13055" max="13055" width="16.42578125" customWidth="1"/>
    <col min="13056" max="13056" width="8.140625" customWidth="1"/>
    <col min="13057" max="13057" width="10.85546875" customWidth="1"/>
    <col min="13058" max="13058" width="38.85546875" customWidth="1"/>
    <col min="13059" max="13059" width="25.5703125" customWidth="1"/>
    <col min="13063" max="13063" width="44.85546875" customWidth="1"/>
    <col min="13064" max="13064" width="17.42578125" customWidth="1"/>
    <col min="13065" max="13065" width="15" customWidth="1"/>
    <col min="13066" max="13066" width="13.85546875" customWidth="1"/>
    <col min="13067" max="13067" width="13.5703125" customWidth="1"/>
    <col min="13068" max="13068" width="11.7109375" customWidth="1"/>
    <col min="13069" max="13069" width="14" customWidth="1"/>
    <col min="13070" max="13070" width="16.28515625" customWidth="1"/>
    <col min="13071" max="13071" width="12.5703125" customWidth="1"/>
    <col min="13072" max="13072" width="13.28515625" customWidth="1"/>
    <col min="13073" max="13073" width="14.85546875" customWidth="1"/>
    <col min="13074" max="13074" width="18" customWidth="1"/>
    <col min="13075" max="13075" width="24" customWidth="1"/>
    <col min="13308" max="13308" width="7.42578125" customWidth="1"/>
    <col min="13309" max="13309" width="22.7109375" customWidth="1"/>
    <col min="13310" max="13310" width="14.42578125" customWidth="1"/>
    <col min="13311" max="13311" width="16.42578125" customWidth="1"/>
    <col min="13312" max="13312" width="8.140625" customWidth="1"/>
    <col min="13313" max="13313" width="10.85546875" customWidth="1"/>
    <col min="13314" max="13314" width="38.85546875" customWidth="1"/>
    <col min="13315" max="13315" width="25.5703125" customWidth="1"/>
    <col min="13319" max="13319" width="44.85546875" customWidth="1"/>
    <col min="13320" max="13320" width="17.42578125" customWidth="1"/>
    <col min="13321" max="13321" width="15" customWidth="1"/>
    <col min="13322" max="13322" width="13.85546875" customWidth="1"/>
    <col min="13323" max="13323" width="13.5703125" customWidth="1"/>
    <col min="13324" max="13324" width="11.7109375" customWidth="1"/>
    <col min="13325" max="13325" width="14" customWidth="1"/>
    <col min="13326" max="13326" width="16.28515625" customWidth="1"/>
    <col min="13327" max="13327" width="12.5703125" customWidth="1"/>
    <col min="13328" max="13328" width="13.28515625" customWidth="1"/>
    <col min="13329" max="13329" width="14.85546875" customWidth="1"/>
    <col min="13330" max="13330" width="18" customWidth="1"/>
    <col min="13331" max="13331" width="24" customWidth="1"/>
    <col min="13564" max="13564" width="7.42578125" customWidth="1"/>
    <col min="13565" max="13565" width="22.7109375" customWidth="1"/>
    <col min="13566" max="13566" width="14.42578125" customWidth="1"/>
    <col min="13567" max="13567" width="16.42578125" customWidth="1"/>
    <col min="13568" max="13568" width="8.140625" customWidth="1"/>
    <col min="13569" max="13569" width="10.85546875" customWidth="1"/>
    <col min="13570" max="13570" width="38.85546875" customWidth="1"/>
    <col min="13571" max="13571" width="25.5703125" customWidth="1"/>
    <col min="13575" max="13575" width="44.85546875" customWidth="1"/>
    <col min="13576" max="13576" width="17.42578125" customWidth="1"/>
    <col min="13577" max="13577" width="15" customWidth="1"/>
    <col min="13578" max="13578" width="13.85546875" customWidth="1"/>
    <col min="13579" max="13579" width="13.5703125" customWidth="1"/>
    <col min="13580" max="13580" width="11.7109375" customWidth="1"/>
    <col min="13581" max="13581" width="14" customWidth="1"/>
    <col min="13582" max="13582" width="16.28515625" customWidth="1"/>
    <col min="13583" max="13583" width="12.5703125" customWidth="1"/>
    <col min="13584" max="13584" width="13.28515625" customWidth="1"/>
    <col min="13585" max="13585" width="14.85546875" customWidth="1"/>
    <col min="13586" max="13586" width="18" customWidth="1"/>
    <col min="13587" max="13587" width="24" customWidth="1"/>
    <col min="13820" max="13820" width="7.42578125" customWidth="1"/>
    <col min="13821" max="13821" width="22.7109375" customWidth="1"/>
    <col min="13822" max="13822" width="14.42578125" customWidth="1"/>
    <col min="13823" max="13823" width="16.42578125" customWidth="1"/>
    <col min="13824" max="13824" width="8.140625" customWidth="1"/>
    <col min="13825" max="13825" width="10.85546875" customWidth="1"/>
    <col min="13826" max="13826" width="38.85546875" customWidth="1"/>
    <col min="13827" max="13827" width="25.5703125" customWidth="1"/>
    <col min="13831" max="13831" width="44.85546875" customWidth="1"/>
    <col min="13832" max="13832" width="17.42578125" customWidth="1"/>
    <col min="13833" max="13833" width="15" customWidth="1"/>
    <col min="13834" max="13834" width="13.85546875" customWidth="1"/>
    <col min="13835" max="13835" width="13.5703125" customWidth="1"/>
    <col min="13836" max="13836" width="11.7109375" customWidth="1"/>
    <col min="13837" max="13837" width="14" customWidth="1"/>
    <col min="13838" max="13838" width="16.28515625" customWidth="1"/>
    <col min="13839" max="13839" width="12.5703125" customWidth="1"/>
    <col min="13840" max="13840" width="13.28515625" customWidth="1"/>
    <col min="13841" max="13841" width="14.85546875" customWidth="1"/>
    <col min="13842" max="13842" width="18" customWidth="1"/>
    <col min="13843" max="13843" width="24" customWidth="1"/>
    <col min="14076" max="14076" width="7.42578125" customWidth="1"/>
    <col min="14077" max="14077" width="22.7109375" customWidth="1"/>
    <col min="14078" max="14078" width="14.42578125" customWidth="1"/>
    <col min="14079" max="14079" width="16.42578125" customWidth="1"/>
    <col min="14080" max="14080" width="8.140625" customWidth="1"/>
    <col min="14081" max="14081" width="10.85546875" customWidth="1"/>
    <col min="14082" max="14082" width="38.85546875" customWidth="1"/>
    <col min="14083" max="14083" width="25.5703125" customWidth="1"/>
    <col min="14087" max="14087" width="44.85546875" customWidth="1"/>
    <col min="14088" max="14088" width="17.42578125" customWidth="1"/>
    <col min="14089" max="14089" width="15" customWidth="1"/>
    <col min="14090" max="14090" width="13.85546875" customWidth="1"/>
    <col min="14091" max="14091" width="13.5703125" customWidth="1"/>
    <col min="14092" max="14092" width="11.7109375" customWidth="1"/>
    <col min="14093" max="14093" width="14" customWidth="1"/>
    <col min="14094" max="14094" width="16.28515625" customWidth="1"/>
    <col min="14095" max="14095" width="12.5703125" customWidth="1"/>
    <col min="14096" max="14096" width="13.28515625" customWidth="1"/>
    <col min="14097" max="14097" width="14.85546875" customWidth="1"/>
    <col min="14098" max="14098" width="18" customWidth="1"/>
    <col min="14099" max="14099" width="24" customWidth="1"/>
    <col min="14332" max="14332" width="7.42578125" customWidth="1"/>
    <col min="14333" max="14333" width="22.7109375" customWidth="1"/>
    <col min="14334" max="14334" width="14.42578125" customWidth="1"/>
    <col min="14335" max="14335" width="16.42578125" customWidth="1"/>
    <col min="14336" max="14336" width="8.140625" customWidth="1"/>
    <col min="14337" max="14337" width="10.85546875" customWidth="1"/>
    <col min="14338" max="14338" width="38.85546875" customWidth="1"/>
    <col min="14339" max="14339" width="25.5703125" customWidth="1"/>
    <col min="14343" max="14343" width="44.85546875" customWidth="1"/>
    <col min="14344" max="14344" width="17.42578125" customWidth="1"/>
    <col min="14345" max="14345" width="15" customWidth="1"/>
    <col min="14346" max="14346" width="13.85546875" customWidth="1"/>
    <col min="14347" max="14347" width="13.5703125" customWidth="1"/>
    <col min="14348" max="14348" width="11.7109375" customWidth="1"/>
    <col min="14349" max="14349" width="14" customWidth="1"/>
    <col min="14350" max="14350" width="16.28515625" customWidth="1"/>
    <col min="14351" max="14351" width="12.5703125" customWidth="1"/>
    <col min="14352" max="14352" width="13.28515625" customWidth="1"/>
    <col min="14353" max="14353" width="14.85546875" customWidth="1"/>
    <col min="14354" max="14354" width="18" customWidth="1"/>
    <col min="14355" max="14355" width="24" customWidth="1"/>
    <col min="14588" max="14588" width="7.42578125" customWidth="1"/>
    <col min="14589" max="14589" width="22.7109375" customWidth="1"/>
    <col min="14590" max="14590" width="14.42578125" customWidth="1"/>
    <col min="14591" max="14591" width="16.42578125" customWidth="1"/>
    <col min="14592" max="14592" width="8.140625" customWidth="1"/>
    <col min="14593" max="14593" width="10.85546875" customWidth="1"/>
    <col min="14594" max="14594" width="38.85546875" customWidth="1"/>
    <col min="14595" max="14595" width="25.5703125" customWidth="1"/>
    <col min="14599" max="14599" width="44.85546875" customWidth="1"/>
    <col min="14600" max="14600" width="17.42578125" customWidth="1"/>
    <col min="14601" max="14601" width="15" customWidth="1"/>
    <col min="14602" max="14602" width="13.85546875" customWidth="1"/>
    <col min="14603" max="14603" width="13.5703125" customWidth="1"/>
    <col min="14604" max="14604" width="11.7109375" customWidth="1"/>
    <col min="14605" max="14605" width="14" customWidth="1"/>
    <col min="14606" max="14606" width="16.28515625" customWidth="1"/>
    <col min="14607" max="14607" width="12.5703125" customWidth="1"/>
    <col min="14608" max="14608" width="13.28515625" customWidth="1"/>
    <col min="14609" max="14609" width="14.85546875" customWidth="1"/>
    <col min="14610" max="14610" width="18" customWidth="1"/>
    <col min="14611" max="14611" width="24" customWidth="1"/>
    <col min="14844" max="14844" width="7.42578125" customWidth="1"/>
    <col min="14845" max="14845" width="22.7109375" customWidth="1"/>
    <col min="14846" max="14846" width="14.42578125" customWidth="1"/>
    <col min="14847" max="14847" width="16.42578125" customWidth="1"/>
    <col min="14848" max="14848" width="8.140625" customWidth="1"/>
    <col min="14849" max="14849" width="10.85546875" customWidth="1"/>
    <col min="14850" max="14850" width="38.85546875" customWidth="1"/>
    <col min="14851" max="14851" width="25.5703125" customWidth="1"/>
    <col min="14855" max="14855" width="44.85546875" customWidth="1"/>
    <col min="14856" max="14856" width="17.42578125" customWidth="1"/>
    <col min="14857" max="14857" width="15" customWidth="1"/>
    <col min="14858" max="14858" width="13.85546875" customWidth="1"/>
    <col min="14859" max="14859" width="13.5703125" customWidth="1"/>
    <col min="14860" max="14860" width="11.7109375" customWidth="1"/>
    <col min="14861" max="14861" width="14" customWidth="1"/>
    <col min="14862" max="14862" width="16.28515625" customWidth="1"/>
    <col min="14863" max="14863" width="12.5703125" customWidth="1"/>
    <col min="14864" max="14864" width="13.28515625" customWidth="1"/>
    <col min="14865" max="14865" width="14.85546875" customWidth="1"/>
    <col min="14866" max="14866" width="18" customWidth="1"/>
    <col min="14867" max="14867" width="24" customWidth="1"/>
    <col min="15100" max="15100" width="7.42578125" customWidth="1"/>
    <col min="15101" max="15101" width="22.7109375" customWidth="1"/>
    <col min="15102" max="15102" width="14.42578125" customWidth="1"/>
    <col min="15103" max="15103" width="16.42578125" customWidth="1"/>
    <col min="15104" max="15104" width="8.140625" customWidth="1"/>
    <col min="15105" max="15105" width="10.85546875" customWidth="1"/>
    <col min="15106" max="15106" width="38.85546875" customWidth="1"/>
    <col min="15107" max="15107" width="25.5703125" customWidth="1"/>
    <col min="15111" max="15111" width="44.85546875" customWidth="1"/>
    <col min="15112" max="15112" width="17.42578125" customWidth="1"/>
    <col min="15113" max="15113" width="15" customWidth="1"/>
    <col min="15114" max="15114" width="13.85546875" customWidth="1"/>
    <col min="15115" max="15115" width="13.5703125" customWidth="1"/>
    <col min="15116" max="15116" width="11.7109375" customWidth="1"/>
    <col min="15117" max="15117" width="14" customWidth="1"/>
    <col min="15118" max="15118" width="16.28515625" customWidth="1"/>
    <col min="15119" max="15119" width="12.5703125" customWidth="1"/>
    <col min="15120" max="15120" width="13.28515625" customWidth="1"/>
    <col min="15121" max="15121" width="14.85546875" customWidth="1"/>
    <col min="15122" max="15122" width="18" customWidth="1"/>
    <col min="15123" max="15123" width="24" customWidth="1"/>
    <col min="15356" max="15356" width="7.42578125" customWidth="1"/>
    <col min="15357" max="15357" width="22.7109375" customWidth="1"/>
    <col min="15358" max="15358" width="14.42578125" customWidth="1"/>
    <col min="15359" max="15359" width="16.42578125" customWidth="1"/>
    <col min="15360" max="15360" width="8.140625" customWidth="1"/>
    <col min="15361" max="15361" width="10.85546875" customWidth="1"/>
    <col min="15362" max="15362" width="38.85546875" customWidth="1"/>
    <col min="15363" max="15363" width="25.5703125" customWidth="1"/>
    <col min="15367" max="15367" width="44.85546875" customWidth="1"/>
    <col min="15368" max="15368" width="17.42578125" customWidth="1"/>
    <col min="15369" max="15369" width="15" customWidth="1"/>
    <col min="15370" max="15370" width="13.85546875" customWidth="1"/>
    <col min="15371" max="15371" width="13.5703125" customWidth="1"/>
    <col min="15372" max="15372" width="11.7109375" customWidth="1"/>
    <col min="15373" max="15373" width="14" customWidth="1"/>
    <col min="15374" max="15374" width="16.28515625" customWidth="1"/>
    <col min="15375" max="15375" width="12.5703125" customWidth="1"/>
    <col min="15376" max="15376" width="13.28515625" customWidth="1"/>
    <col min="15377" max="15377" width="14.85546875" customWidth="1"/>
    <col min="15378" max="15378" width="18" customWidth="1"/>
    <col min="15379" max="15379" width="24" customWidth="1"/>
    <col min="15612" max="15612" width="7.42578125" customWidth="1"/>
    <col min="15613" max="15613" width="22.7109375" customWidth="1"/>
    <col min="15614" max="15614" width="14.42578125" customWidth="1"/>
    <col min="15615" max="15615" width="16.42578125" customWidth="1"/>
    <col min="15616" max="15616" width="8.140625" customWidth="1"/>
    <col min="15617" max="15617" width="10.85546875" customWidth="1"/>
    <col min="15618" max="15618" width="38.85546875" customWidth="1"/>
    <col min="15619" max="15619" width="25.5703125" customWidth="1"/>
    <col min="15623" max="15623" width="44.85546875" customWidth="1"/>
    <col min="15624" max="15624" width="17.42578125" customWidth="1"/>
    <col min="15625" max="15625" width="15" customWidth="1"/>
    <col min="15626" max="15626" width="13.85546875" customWidth="1"/>
    <col min="15627" max="15627" width="13.5703125" customWidth="1"/>
    <col min="15628" max="15628" width="11.7109375" customWidth="1"/>
    <col min="15629" max="15629" width="14" customWidth="1"/>
    <col min="15630" max="15630" width="16.28515625" customWidth="1"/>
    <col min="15631" max="15631" width="12.5703125" customWidth="1"/>
    <col min="15632" max="15632" width="13.28515625" customWidth="1"/>
    <col min="15633" max="15633" width="14.85546875" customWidth="1"/>
    <col min="15634" max="15634" width="18" customWidth="1"/>
    <col min="15635" max="15635" width="24" customWidth="1"/>
    <col min="15868" max="15868" width="7.42578125" customWidth="1"/>
    <col min="15869" max="15869" width="22.7109375" customWidth="1"/>
    <col min="15870" max="15870" width="14.42578125" customWidth="1"/>
    <col min="15871" max="15871" width="16.42578125" customWidth="1"/>
    <col min="15872" max="15872" width="8.140625" customWidth="1"/>
    <col min="15873" max="15873" width="10.85546875" customWidth="1"/>
    <col min="15874" max="15874" width="38.85546875" customWidth="1"/>
    <col min="15875" max="15875" width="25.5703125" customWidth="1"/>
    <col min="15879" max="15879" width="44.85546875" customWidth="1"/>
    <col min="15880" max="15880" width="17.42578125" customWidth="1"/>
    <col min="15881" max="15881" width="15" customWidth="1"/>
    <col min="15882" max="15882" width="13.85546875" customWidth="1"/>
    <col min="15883" max="15883" width="13.5703125" customWidth="1"/>
    <col min="15884" max="15884" width="11.7109375" customWidth="1"/>
    <col min="15885" max="15885" width="14" customWidth="1"/>
    <col min="15886" max="15886" width="16.28515625" customWidth="1"/>
    <col min="15887" max="15887" width="12.5703125" customWidth="1"/>
    <col min="15888" max="15888" width="13.28515625" customWidth="1"/>
    <col min="15889" max="15889" width="14.85546875" customWidth="1"/>
    <col min="15890" max="15890" width="18" customWidth="1"/>
    <col min="15891" max="15891" width="24" customWidth="1"/>
    <col min="16124" max="16124" width="7.42578125" customWidth="1"/>
    <col min="16125" max="16125" width="22.7109375" customWidth="1"/>
    <col min="16126" max="16126" width="14.42578125" customWidth="1"/>
    <col min="16127" max="16127" width="16.42578125" customWidth="1"/>
    <col min="16128" max="16128" width="8.140625" customWidth="1"/>
    <col min="16129" max="16129" width="10.85546875" customWidth="1"/>
    <col min="16130" max="16130" width="38.85546875" customWidth="1"/>
    <col min="16131" max="16131" width="25.5703125" customWidth="1"/>
    <col min="16135" max="16135" width="44.85546875" customWidth="1"/>
    <col min="16136" max="16136" width="17.42578125" customWidth="1"/>
    <col min="16137" max="16137" width="15" customWidth="1"/>
    <col min="16138" max="16138" width="13.85546875" customWidth="1"/>
    <col min="16139" max="16139" width="13.5703125" customWidth="1"/>
    <col min="16140" max="16140" width="11.7109375" customWidth="1"/>
    <col min="16141" max="16141" width="14" customWidth="1"/>
    <col min="16142" max="16142" width="16.28515625" customWidth="1"/>
    <col min="16143" max="16143" width="12.5703125" customWidth="1"/>
    <col min="16144" max="16144" width="13.28515625" customWidth="1"/>
    <col min="16145" max="16145" width="14.85546875" customWidth="1"/>
    <col min="16146" max="16146" width="18" customWidth="1"/>
    <col min="16147" max="16147" width="24" customWidth="1"/>
  </cols>
  <sheetData>
    <row r="1" spans="2:37" s="7" customFormat="1" ht="24.75" customHeight="1" thickBot="1">
      <c r="B1" s="357" t="s">
        <v>172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65"/>
      <c r="N1" s="365"/>
      <c r="O1" s="365"/>
      <c r="P1" s="365"/>
      <c r="Q1" s="365"/>
      <c r="R1" s="365"/>
      <c r="S1" s="365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2:37" s="7" customFormat="1" ht="32.25" customHeight="1" thickBot="1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  <c r="M2" s="366" t="s">
        <v>26</v>
      </c>
      <c r="N2" s="367"/>
      <c r="O2" s="368"/>
      <c r="P2" s="275" t="s">
        <v>33</v>
      </c>
      <c r="Q2" s="367" t="s">
        <v>34</v>
      </c>
      <c r="R2" s="367"/>
      <c r="S2" s="36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2:37" ht="30.75" customHeight="1" thickBot="1">
      <c r="B3" s="267" t="s">
        <v>0</v>
      </c>
      <c r="C3" s="297" t="s">
        <v>165</v>
      </c>
      <c r="D3" s="277" t="s">
        <v>1</v>
      </c>
      <c r="E3" s="278" t="s">
        <v>481</v>
      </c>
      <c r="F3" s="278" t="s">
        <v>115</v>
      </c>
      <c r="G3" s="279" t="s">
        <v>164</v>
      </c>
      <c r="H3" s="278" t="s">
        <v>116</v>
      </c>
      <c r="I3" s="278" t="s">
        <v>2</v>
      </c>
      <c r="J3" s="363" t="s">
        <v>3</v>
      </c>
      <c r="K3" s="363"/>
      <c r="L3" s="364"/>
      <c r="M3" s="298" t="s">
        <v>27</v>
      </c>
      <c r="N3" s="299" t="s">
        <v>28</v>
      </c>
      <c r="O3" s="300" t="s">
        <v>29</v>
      </c>
      <c r="P3" s="300" t="s">
        <v>27</v>
      </c>
      <c r="Q3" s="301" t="s">
        <v>4</v>
      </c>
      <c r="R3" s="302" t="s">
        <v>5</v>
      </c>
      <c r="S3" s="303" t="s">
        <v>6</v>
      </c>
    </row>
    <row r="4" spans="2:37" s="16" customFormat="1" ht="27" customHeight="1">
      <c r="B4" s="106">
        <v>1</v>
      </c>
      <c r="C4" s="107" t="s">
        <v>588</v>
      </c>
      <c r="D4" s="263" t="s">
        <v>626</v>
      </c>
      <c r="E4" s="304" t="s">
        <v>611</v>
      </c>
      <c r="F4" s="305" t="s">
        <v>642</v>
      </c>
      <c r="G4" s="108" t="s">
        <v>657</v>
      </c>
      <c r="H4" s="109" t="str">
        <f>UPPER(G4)</f>
        <v>VISITA DE BENCHMARKING AOS  HOSPITAIS ICESP E AC CAMARGO</v>
      </c>
      <c r="I4" s="109" t="s">
        <v>358</v>
      </c>
      <c r="J4" s="150">
        <v>43647</v>
      </c>
      <c r="K4" s="111">
        <v>17</v>
      </c>
      <c r="L4" s="112">
        <v>17</v>
      </c>
      <c r="M4" s="124"/>
      <c r="N4" s="124"/>
      <c r="O4" s="124"/>
      <c r="P4" s="118"/>
      <c r="Q4" s="113">
        <v>915.83</v>
      </c>
      <c r="R4" s="114">
        <v>0</v>
      </c>
      <c r="S4" s="115">
        <f t="shared" ref="S4:S27" si="0">M4+N4+O4+P4+Q4+R4</f>
        <v>915.83</v>
      </c>
      <c r="T4" s="15"/>
      <c r="U4" s="15"/>
      <c r="V4" s="15"/>
      <c r="W4" s="15"/>
    </row>
    <row r="5" spans="2:37" s="16" customFormat="1" ht="29.25" customHeight="1">
      <c r="B5" s="94">
        <v>2</v>
      </c>
      <c r="C5" s="56" t="s">
        <v>589</v>
      </c>
      <c r="D5" s="168" t="s">
        <v>627</v>
      </c>
      <c r="E5" s="291" t="s">
        <v>612</v>
      </c>
      <c r="F5" s="237" t="s">
        <v>643</v>
      </c>
      <c r="G5" s="53" t="s">
        <v>657</v>
      </c>
      <c r="H5" s="9" t="str">
        <f>UPPER(G5)</f>
        <v>VISITA DE BENCHMARKING AOS  HOSPITAIS ICESP E AC CAMARGO</v>
      </c>
      <c r="I5" s="9" t="s">
        <v>358</v>
      </c>
      <c r="J5" s="155">
        <v>43647</v>
      </c>
      <c r="K5" s="10">
        <v>17</v>
      </c>
      <c r="L5" s="11">
        <v>17</v>
      </c>
      <c r="M5" s="57">
        <v>60.7</v>
      </c>
      <c r="N5" s="57">
        <v>130.30000000000001</v>
      </c>
      <c r="O5" s="57"/>
      <c r="P5" s="54">
        <v>0</v>
      </c>
      <c r="Q5" s="13">
        <v>915.83</v>
      </c>
      <c r="R5" s="14">
        <v>0</v>
      </c>
      <c r="S5" s="93">
        <f t="shared" si="0"/>
        <v>1106.83</v>
      </c>
      <c r="T5" s="15"/>
      <c r="U5" s="15"/>
      <c r="V5" s="15"/>
      <c r="W5" s="15"/>
    </row>
    <row r="6" spans="2:37" s="16" customFormat="1" ht="36.75" customHeight="1">
      <c r="B6" s="94">
        <v>3</v>
      </c>
      <c r="C6" s="55" t="s">
        <v>590</v>
      </c>
      <c r="D6" s="168" t="s">
        <v>628</v>
      </c>
      <c r="E6" s="291" t="s">
        <v>613</v>
      </c>
      <c r="F6" s="237" t="s">
        <v>644</v>
      </c>
      <c r="G6" s="53" t="s">
        <v>658</v>
      </c>
      <c r="H6" s="9" t="str">
        <f t="shared" ref="H6:H27" si="1">UPPER(G6)</f>
        <v>VISITA AOS HOSPITAIS INSTITUTO DO CÂNCER DO ESTADO DE SÃO PAULO (ICESP) E AC CAMARGO PARA BENCHMARKING.</v>
      </c>
      <c r="I6" s="9" t="s">
        <v>358</v>
      </c>
      <c r="J6" s="155">
        <v>43647</v>
      </c>
      <c r="K6" s="10">
        <v>17</v>
      </c>
      <c r="L6" s="197">
        <v>17</v>
      </c>
      <c r="M6" s="57">
        <v>28.39</v>
      </c>
      <c r="N6" s="57">
        <v>106.8</v>
      </c>
      <c r="O6" s="57"/>
      <c r="P6" s="54">
        <f>29+33</f>
        <v>62</v>
      </c>
      <c r="Q6" s="13">
        <v>915.83</v>
      </c>
      <c r="R6" s="14">
        <v>0</v>
      </c>
      <c r="S6" s="93">
        <f t="shared" si="0"/>
        <v>1113.02</v>
      </c>
      <c r="T6" s="15"/>
      <c r="U6" s="15"/>
      <c r="V6" s="15"/>
      <c r="W6" s="15"/>
    </row>
    <row r="7" spans="2:37" s="16" customFormat="1" ht="70.5" customHeight="1">
      <c r="B7" s="94">
        <v>4</v>
      </c>
      <c r="C7" s="56" t="s">
        <v>591</v>
      </c>
      <c r="D7" s="168" t="s">
        <v>629</v>
      </c>
      <c r="E7" s="291" t="s">
        <v>614</v>
      </c>
      <c r="F7" s="237" t="s">
        <v>645</v>
      </c>
      <c r="G7" s="53" t="s">
        <v>659</v>
      </c>
      <c r="H7" s="9" t="str">
        <f t="shared" si="1"/>
        <v>VIAGEM A SERVIÇO PARA CONHECER AS ÁREAS DE ONCOLOGIA DOS HOSPITAIS ICESP E AC CAMARGO EM SÃO PAULO, COM O OBJETIVO DE TRAZER INFORMAÇÕES PARA O PROJETO DO CENTRO INTEGRADO DE ONCOLOGIA DO 4O PAVIMENTO DO BLOCO C (ANEXO II).</v>
      </c>
      <c r="I7" s="9" t="s">
        <v>358</v>
      </c>
      <c r="J7" s="155">
        <v>43647</v>
      </c>
      <c r="K7" s="10">
        <v>17</v>
      </c>
      <c r="L7" s="197">
        <v>17</v>
      </c>
      <c r="M7" s="57">
        <v>58.69</v>
      </c>
      <c r="N7" s="57">
        <v>125.9</v>
      </c>
      <c r="O7" s="57"/>
      <c r="P7" s="54">
        <v>30</v>
      </c>
      <c r="Q7" s="13">
        <v>915.83</v>
      </c>
      <c r="R7" s="14">
        <v>0</v>
      </c>
      <c r="S7" s="93">
        <f t="shared" si="0"/>
        <v>1130.42</v>
      </c>
      <c r="T7" s="15"/>
      <c r="U7" s="15"/>
      <c r="V7" s="15"/>
      <c r="W7" s="15"/>
    </row>
    <row r="8" spans="2:37" s="16" customFormat="1" ht="25.5" customHeight="1">
      <c r="B8" s="94">
        <v>5</v>
      </c>
      <c r="C8" s="56" t="s">
        <v>592</v>
      </c>
      <c r="D8" s="168" t="s">
        <v>630</v>
      </c>
      <c r="E8" s="291" t="s">
        <v>615</v>
      </c>
      <c r="F8" s="196" t="s">
        <v>646</v>
      </c>
      <c r="G8" s="53" t="s">
        <v>660</v>
      </c>
      <c r="H8" s="9" t="str">
        <f t="shared" si="1"/>
        <v>VISITA DE BENCHMARKING AOS HOSPITAIS ICESP E A.C CAMARGO</v>
      </c>
      <c r="I8" s="9" t="s">
        <v>358</v>
      </c>
      <c r="J8" s="155">
        <v>43647</v>
      </c>
      <c r="K8" s="156">
        <v>17</v>
      </c>
      <c r="L8" s="157">
        <v>17</v>
      </c>
      <c r="M8" s="57"/>
      <c r="N8" s="57"/>
      <c r="O8" s="57"/>
      <c r="P8" s="54">
        <v>0</v>
      </c>
      <c r="Q8" s="13">
        <v>915.83</v>
      </c>
      <c r="R8" s="14">
        <v>0</v>
      </c>
      <c r="S8" s="93">
        <f t="shared" si="0"/>
        <v>915.83</v>
      </c>
      <c r="T8" s="15"/>
      <c r="U8" s="15"/>
      <c r="V8" s="15"/>
      <c r="W8" s="15"/>
    </row>
    <row r="9" spans="2:37" s="16" customFormat="1" ht="46.5" customHeight="1">
      <c r="B9" s="94">
        <v>6</v>
      </c>
      <c r="C9" s="56" t="s">
        <v>593</v>
      </c>
      <c r="D9" s="295" t="s">
        <v>631</v>
      </c>
      <c r="E9" s="292" t="s">
        <v>616</v>
      </c>
      <c r="F9" s="296" t="s">
        <v>654</v>
      </c>
      <c r="G9" s="53" t="s">
        <v>661</v>
      </c>
      <c r="H9" s="9" t="str">
        <f t="shared" si="1"/>
        <v>PARTICIPAÇÃO NO XIII CONGRESSO BRASILEIRO DE MEDICINA DE TRÁFEGO II CONGRESSO BRASILEIRO DE PSICOLOGIA DE TRÁFEGO  - PROJETO SENAD - TED 05/18 SIMULADOR DE TRÂNSITO</v>
      </c>
      <c r="I9" s="9" t="s">
        <v>65</v>
      </c>
      <c r="J9" s="17">
        <v>43709</v>
      </c>
      <c r="K9" s="10">
        <v>12</v>
      </c>
      <c r="L9" s="11">
        <v>14</v>
      </c>
      <c r="M9" s="57">
        <v>100.03</v>
      </c>
      <c r="N9" s="57">
        <v>0</v>
      </c>
      <c r="O9" s="57"/>
      <c r="P9" s="54"/>
      <c r="Q9" s="13">
        <v>1242.3699999999999</v>
      </c>
      <c r="R9" s="313">
        <f>713+114.4</f>
        <v>827.4</v>
      </c>
      <c r="S9" s="93">
        <f t="shared" si="0"/>
        <v>2169.7999999999997</v>
      </c>
      <c r="T9" s="15"/>
      <c r="U9" s="15"/>
      <c r="V9" s="15"/>
      <c r="W9" s="15"/>
    </row>
    <row r="10" spans="2:37" s="16" customFormat="1" ht="47.25" customHeight="1">
      <c r="B10" s="94">
        <v>7</v>
      </c>
      <c r="C10" s="56" t="s">
        <v>594</v>
      </c>
      <c r="D10" s="168" t="s">
        <v>632</v>
      </c>
      <c r="E10" s="293" t="s">
        <v>617</v>
      </c>
      <c r="F10" s="237" t="s">
        <v>647</v>
      </c>
      <c r="G10" s="53" t="s">
        <v>661</v>
      </c>
      <c r="H10" s="9" t="str">
        <f t="shared" si="1"/>
        <v>PARTICIPAÇÃO NO XIII CONGRESSO BRASILEIRO DE MEDICINA DE TRÁFEGO II CONGRESSO BRASILEIRO DE PSICOLOGIA DE TRÁFEGO  - PROJETO SENAD - TED 05/18 SIMULADOR DE TRÂNSITO</v>
      </c>
      <c r="I10" s="9" t="s">
        <v>65</v>
      </c>
      <c r="J10" s="17">
        <v>43709</v>
      </c>
      <c r="K10" s="10">
        <v>12</v>
      </c>
      <c r="L10" s="11">
        <v>14</v>
      </c>
      <c r="M10" s="57"/>
      <c r="N10" s="57"/>
      <c r="O10" s="57"/>
      <c r="P10" s="54"/>
      <c r="Q10" s="13">
        <v>1242.3699999999999</v>
      </c>
      <c r="R10" s="313">
        <v>0</v>
      </c>
      <c r="S10" s="93">
        <f t="shared" si="0"/>
        <v>1242.3699999999999</v>
      </c>
      <c r="T10" s="15"/>
      <c r="U10" s="15"/>
      <c r="V10" s="15"/>
      <c r="W10" s="15"/>
    </row>
    <row r="11" spans="2:37" s="16" customFormat="1" ht="47.25" customHeight="1">
      <c r="B11" s="94">
        <v>8</v>
      </c>
      <c r="C11" s="55" t="s">
        <v>595</v>
      </c>
      <c r="D11" s="168" t="s">
        <v>633</v>
      </c>
      <c r="E11" s="293" t="s">
        <v>618</v>
      </c>
      <c r="F11" s="296" t="s">
        <v>654</v>
      </c>
      <c r="G11" s="53" t="s">
        <v>661</v>
      </c>
      <c r="H11" s="9" t="str">
        <f t="shared" si="1"/>
        <v>PARTICIPAÇÃO NO XIII CONGRESSO BRASILEIRO DE MEDICINA DE TRÁFEGO II CONGRESSO BRASILEIRO DE PSICOLOGIA DE TRÁFEGO  - PROJETO SENAD - TED 05/18 SIMULADOR DE TRÂNSITO</v>
      </c>
      <c r="I11" s="9" t="s">
        <v>65</v>
      </c>
      <c r="J11" s="17">
        <v>43709</v>
      </c>
      <c r="K11" s="10">
        <v>12</v>
      </c>
      <c r="L11" s="11">
        <v>14</v>
      </c>
      <c r="M11" s="57"/>
      <c r="N11" s="57"/>
      <c r="O11" s="57"/>
      <c r="P11" s="54"/>
      <c r="Q11" s="13">
        <v>1242.3699999999999</v>
      </c>
      <c r="R11" s="14">
        <v>0</v>
      </c>
      <c r="S11" s="93">
        <f t="shared" si="0"/>
        <v>1242.3699999999999</v>
      </c>
      <c r="T11" s="15"/>
      <c r="U11" s="15"/>
      <c r="V11" s="15"/>
      <c r="W11" s="15"/>
    </row>
    <row r="12" spans="2:37" s="16" customFormat="1" ht="47.25" customHeight="1">
      <c r="B12" s="94">
        <v>9</v>
      </c>
      <c r="C12" s="55" t="s">
        <v>596</v>
      </c>
      <c r="D12" s="168" t="s">
        <v>634</v>
      </c>
      <c r="E12" s="293" t="s">
        <v>619</v>
      </c>
      <c r="F12" s="296" t="s">
        <v>654</v>
      </c>
      <c r="G12" s="53" t="s">
        <v>661</v>
      </c>
      <c r="H12" s="9" t="str">
        <f t="shared" si="1"/>
        <v>PARTICIPAÇÃO NO XIII CONGRESSO BRASILEIRO DE MEDICINA DE TRÁFEGO II CONGRESSO BRASILEIRO DE PSICOLOGIA DE TRÁFEGO  - PROJETO SENAD - TED 05/18 SIMULADOR DE TRÂNSITO</v>
      </c>
      <c r="I12" s="9" t="s">
        <v>65</v>
      </c>
      <c r="J12" s="17">
        <v>43709</v>
      </c>
      <c r="K12" s="10">
        <v>12</v>
      </c>
      <c r="L12" s="11">
        <v>14</v>
      </c>
      <c r="M12" s="57"/>
      <c r="N12" s="57"/>
      <c r="O12" s="57"/>
      <c r="P12" s="54"/>
      <c r="Q12" s="13">
        <v>1242.3699999999999</v>
      </c>
      <c r="R12" s="14">
        <v>0</v>
      </c>
      <c r="S12" s="93">
        <f t="shared" si="0"/>
        <v>1242.3699999999999</v>
      </c>
      <c r="T12" s="15"/>
      <c r="U12" s="15"/>
      <c r="V12" s="15"/>
      <c r="W12" s="15"/>
    </row>
    <row r="13" spans="2:37" s="16" customFormat="1" ht="45" customHeight="1">
      <c r="B13" s="94">
        <v>10</v>
      </c>
      <c r="C13" s="55" t="s">
        <v>597</v>
      </c>
      <c r="D13" s="168" t="s">
        <v>635</v>
      </c>
      <c r="E13" s="293" t="s">
        <v>620</v>
      </c>
      <c r="F13" s="296" t="s">
        <v>654</v>
      </c>
      <c r="G13" s="53" t="s">
        <v>661</v>
      </c>
      <c r="H13" s="9" t="str">
        <f t="shared" si="1"/>
        <v>PARTICIPAÇÃO NO XIII CONGRESSO BRASILEIRO DE MEDICINA DE TRÁFEGO II CONGRESSO BRASILEIRO DE PSICOLOGIA DE TRÁFEGO  - PROJETO SENAD - TED 05/18 SIMULADOR DE TRÂNSITO</v>
      </c>
      <c r="I13" s="9" t="s">
        <v>65</v>
      </c>
      <c r="J13" s="17">
        <v>43709</v>
      </c>
      <c r="K13" s="10">
        <v>12</v>
      </c>
      <c r="L13" s="11">
        <v>14</v>
      </c>
      <c r="M13" s="57"/>
      <c r="N13" s="57"/>
      <c r="O13" s="57"/>
      <c r="P13" s="54"/>
      <c r="Q13" s="13">
        <v>1242.3699999999999</v>
      </c>
      <c r="R13" s="14">
        <v>0</v>
      </c>
      <c r="S13" s="93">
        <f t="shared" si="0"/>
        <v>1242.3699999999999</v>
      </c>
      <c r="T13" s="15"/>
      <c r="U13" s="15"/>
      <c r="V13" s="15"/>
      <c r="W13" s="15"/>
    </row>
    <row r="14" spans="2:37" s="16" customFormat="1" ht="56.25" customHeight="1">
      <c r="B14" s="94">
        <v>11</v>
      </c>
      <c r="C14" s="55" t="s">
        <v>598</v>
      </c>
      <c r="D14" s="168" t="s">
        <v>636</v>
      </c>
      <c r="E14" s="294" t="s">
        <v>621</v>
      </c>
      <c r="F14" s="237" t="s">
        <v>655</v>
      </c>
      <c r="G14" s="53" t="s">
        <v>662</v>
      </c>
      <c r="H14" s="9" t="str">
        <f t="shared" si="1"/>
        <v>DESEMPENHARÁ CONSULTORIA PARA AS ATIVIDADES DO LABORATÓRIO DE SIMULAÇÃO DO TRÂNSITO (TREINAMENTO DA EQUIPE, DESENVOLVIMENTO DE PROTOCOLOS E ANÁLISE DE DADOS) </v>
      </c>
      <c r="I14" s="9" t="s">
        <v>671</v>
      </c>
      <c r="J14" s="17" t="s">
        <v>672</v>
      </c>
      <c r="K14" s="10">
        <v>10</v>
      </c>
      <c r="L14" s="11">
        <v>1</v>
      </c>
      <c r="M14" s="57"/>
      <c r="N14" s="57"/>
      <c r="O14" s="57"/>
      <c r="P14" s="54"/>
      <c r="Q14" s="13">
        <v>9835.91</v>
      </c>
      <c r="R14" s="14">
        <v>0</v>
      </c>
      <c r="S14" s="93">
        <f t="shared" si="0"/>
        <v>9835.91</v>
      </c>
      <c r="T14" s="15"/>
      <c r="U14" s="15"/>
      <c r="V14" s="15"/>
      <c r="W14" s="15"/>
    </row>
    <row r="15" spans="2:37" s="16" customFormat="1" ht="36" customHeight="1">
      <c r="B15" s="94">
        <v>12</v>
      </c>
      <c r="C15" s="55" t="s">
        <v>599</v>
      </c>
      <c r="D15" s="168" t="s">
        <v>460</v>
      </c>
      <c r="E15" s="291" t="s">
        <v>570</v>
      </c>
      <c r="F15" s="194" t="s">
        <v>648</v>
      </c>
      <c r="G15" s="164" t="s">
        <v>474</v>
      </c>
      <c r="H15" s="9" t="str">
        <f t="shared" si="1"/>
        <v>TREINAMENTO AGHUSE - MÓDULO EXAMES E IMPLANTAÇÃO AGHUSE - MÓDULO PATOLOGIA CIRÚRGICA</v>
      </c>
      <c r="I15" s="10" t="s">
        <v>65</v>
      </c>
      <c r="J15" s="17">
        <v>43647</v>
      </c>
      <c r="K15" s="10">
        <v>15</v>
      </c>
      <c r="L15" s="11">
        <v>17</v>
      </c>
      <c r="M15" s="57">
        <v>42.58</v>
      </c>
      <c r="N15" s="57">
        <v>0</v>
      </c>
      <c r="O15" s="57"/>
      <c r="P15" s="54">
        <f>47.29+22.06+25.54+22.64+27.86+25.54+47.87</f>
        <v>218.79999999999998</v>
      </c>
      <c r="Q15" s="13">
        <f>846+832</f>
        <v>1678</v>
      </c>
      <c r="R15" s="14">
        <v>751.2</v>
      </c>
      <c r="S15" s="93">
        <f t="shared" si="0"/>
        <v>2690.58</v>
      </c>
      <c r="T15" s="15"/>
      <c r="U15" s="15"/>
      <c r="V15" s="15"/>
      <c r="W15" s="15"/>
    </row>
    <row r="16" spans="2:37" s="16" customFormat="1" ht="15" customHeight="1">
      <c r="B16" s="94">
        <v>13</v>
      </c>
      <c r="C16" s="55" t="s">
        <v>441</v>
      </c>
      <c r="D16" s="168" t="s">
        <v>393</v>
      </c>
      <c r="E16" s="291" t="s">
        <v>552</v>
      </c>
      <c r="F16" s="236" t="s">
        <v>656</v>
      </c>
      <c r="G16" s="164" t="s">
        <v>581</v>
      </c>
      <c r="H16" s="9" t="str">
        <f t="shared" si="1"/>
        <v> PROJETO AGHUSE - EXÉRCITO BRASILEIRO</v>
      </c>
      <c r="I16" s="10" t="s">
        <v>65</v>
      </c>
      <c r="J16" s="17">
        <v>43647</v>
      </c>
      <c r="K16" s="10">
        <v>15</v>
      </c>
      <c r="L16" s="11">
        <v>17</v>
      </c>
      <c r="M16" s="57"/>
      <c r="N16" s="57"/>
      <c r="O16" s="57"/>
      <c r="P16" s="54">
        <v>0</v>
      </c>
      <c r="Q16" s="13">
        <f>927+832</f>
        <v>1759</v>
      </c>
      <c r="R16" s="14">
        <f>621+233.2</f>
        <v>854.2</v>
      </c>
      <c r="S16" s="93">
        <f t="shared" si="0"/>
        <v>2613.1999999999998</v>
      </c>
      <c r="T16" s="15"/>
      <c r="U16" s="15"/>
      <c r="V16" s="15"/>
      <c r="W16" s="15"/>
    </row>
    <row r="17" spans="2:23" s="16" customFormat="1" ht="26.25" customHeight="1">
      <c r="B17" s="94">
        <v>14</v>
      </c>
      <c r="C17" s="55" t="s">
        <v>600</v>
      </c>
      <c r="D17" s="168" t="s">
        <v>637</v>
      </c>
      <c r="E17" s="291" t="s">
        <v>622</v>
      </c>
      <c r="F17" s="236" t="s">
        <v>649</v>
      </c>
      <c r="G17" s="164" t="s">
        <v>663</v>
      </c>
      <c r="H17" s="9" t="str">
        <f t="shared" si="1"/>
        <v>VIAGEM DE BENCHMARKING AOS HOSPITAIS AC CAMARGO E ICESP</v>
      </c>
      <c r="I17" s="10" t="s">
        <v>358</v>
      </c>
      <c r="J17" s="17">
        <v>43647</v>
      </c>
      <c r="K17" s="10">
        <v>17</v>
      </c>
      <c r="L17" s="11">
        <v>17</v>
      </c>
      <c r="M17" s="57">
        <v>51.26</v>
      </c>
      <c r="N17" s="57">
        <v>138.30000000000001</v>
      </c>
      <c r="O17" s="57"/>
      <c r="P17" s="54">
        <v>0</v>
      </c>
      <c r="Q17" s="13">
        <f>737.98+739.85</f>
        <v>1477.83</v>
      </c>
      <c r="R17" s="14">
        <v>0</v>
      </c>
      <c r="S17" s="93">
        <f t="shared" si="0"/>
        <v>1667.3899999999999</v>
      </c>
      <c r="T17" s="15"/>
      <c r="U17" s="15"/>
      <c r="V17" s="15"/>
      <c r="W17" s="15"/>
    </row>
    <row r="18" spans="2:23" s="16" customFormat="1" ht="24.75" customHeight="1">
      <c r="B18" s="94">
        <v>15</v>
      </c>
      <c r="C18" s="55" t="s">
        <v>601</v>
      </c>
      <c r="D18" s="168" t="s">
        <v>71</v>
      </c>
      <c r="E18" s="291" t="s">
        <v>485</v>
      </c>
      <c r="F18" s="164" t="s">
        <v>131</v>
      </c>
      <c r="G18" s="164" t="s">
        <v>664</v>
      </c>
      <c r="H18" s="9" t="str">
        <f t="shared" si="1"/>
        <v>MINISTRAR TREINAMENTO AGHUSE - MÓDULOS FATURAMENTO INTERNAÇÃO</v>
      </c>
      <c r="I18" s="10" t="s">
        <v>420</v>
      </c>
      <c r="J18" s="17">
        <v>43647</v>
      </c>
      <c r="K18" s="10">
        <v>15</v>
      </c>
      <c r="L18" s="11">
        <v>19</v>
      </c>
      <c r="M18" s="57"/>
      <c r="N18" s="57"/>
      <c r="O18" s="57"/>
      <c r="P18" s="54">
        <v>0</v>
      </c>
      <c r="Q18" s="13">
        <v>0</v>
      </c>
      <c r="R18" s="14">
        <v>0</v>
      </c>
      <c r="S18" s="93">
        <f t="shared" si="0"/>
        <v>0</v>
      </c>
      <c r="T18" s="15"/>
      <c r="U18" s="15"/>
      <c r="V18" s="15"/>
      <c r="W18" s="15"/>
    </row>
    <row r="19" spans="2:23" s="16" customFormat="1" ht="15" customHeight="1">
      <c r="B19" s="94">
        <v>16</v>
      </c>
      <c r="C19" s="55" t="s">
        <v>602</v>
      </c>
      <c r="D19" s="10" t="s">
        <v>57</v>
      </c>
      <c r="E19" s="230" t="s">
        <v>482</v>
      </c>
      <c r="F19" s="236" t="s">
        <v>118</v>
      </c>
      <c r="G19" s="10" t="s">
        <v>342</v>
      </c>
      <c r="H19" s="9" t="str">
        <f t="shared" si="1"/>
        <v>REUNIÃO DO CONSELHO DIRETOR</v>
      </c>
      <c r="I19" s="10" t="s">
        <v>356</v>
      </c>
      <c r="J19" s="17">
        <v>43647</v>
      </c>
      <c r="K19" s="10">
        <v>22</v>
      </c>
      <c r="L19" s="11">
        <v>22</v>
      </c>
      <c r="M19" s="57"/>
      <c r="N19" s="57"/>
      <c r="O19" s="57"/>
      <c r="P19" s="54">
        <v>0</v>
      </c>
      <c r="Q19" s="13">
        <v>449</v>
      </c>
      <c r="R19" s="14">
        <v>0</v>
      </c>
      <c r="S19" s="93">
        <f t="shared" si="0"/>
        <v>449</v>
      </c>
      <c r="T19" s="15"/>
      <c r="U19" s="15"/>
      <c r="V19" s="15"/>
      <c r="W19" s="15"/>
    </row>
    <row r="20" spans="2:23" s="16" customFormat="1" ht="15" customHeight="1">
      <c r="B20" s="94">
        <v>17</v>
      </c>
      <c r="C20" s="55" t="s">
        <v>603</v>
      </c>
      <c r="D20" s="10" t="s">
        <v>107</v>
      </c>
      <c r="E20" s="230" t="s">
        <v>483</v>
      </c>
      <c r="F20" s="236" t="s">
        <v>118</v>
      </c>
      <c r="G20" s="10" t="s">
        <v>342</v>
      </c>
      <c r="H20" s="9" t="str">
        <f t="shared" si="1"/>
        <v>REUNIÃO DO CONSELHO DIRETOR</v>
      </c>
      <c r="I20" s="10" t="s">
        <v>356</v>
      </c>
      <c r="J20" s="17">
        <v>43647</v>
      </c>
      <c r="K20" s="10">
        <v>22</v>
      </c>
      <c r="L20" s="11">
        <v>22</v>
      </c>
      <c r="M20" s="57"/>
      <c r="N20" s="57"/>
      <c r="O20" s="57"/>
      <c r="P20" s="54">
        <v>0</v>
      </c>
      <c r="Q20" s="13">
        <v>1301.5899999999999</v>
      </c>
      <c r="R20" s="14">
        <v>0</v>
      </c>
      <c r="S20" s="93">
        <f t="shared" si="0"/>
        <v>1301.5899999999999</v>
      </c>
      <c r="T20" s="15"/>
      <c r="U20" s="15"/>
      <c r="V20" s="15"/>
      <c r="W20" s="15"/>
    </row>
    <row r="21" spans="2:23" s="16" customFormat="1" ht="57.75" customHeight="1">
      <c r="B21" s="94">
        <v>18</v>
      </c>
      <c r="C21" s="55" t="s">
        <v>604</v>
      </c>
      <c r="D21" s="10" t="s">
        <v>638</v>
      </c>
      <c r="E21" s="230" t="s">
        <v>623</v>
      </c>
      <c r="F21" s="236" t="s">
        <v>650</v>
      </c>
      <c r="G21" s="164" t="s">
        <v>665</v>
      </c>
      <c r="H21" s="9" t="str">
        <f t="shared" si="1"/>
        <v>REPRESENTAR A INSTITUIÇÃO COMO COORDENADORA ADJUNTA DO MESTRADO PROFISSIONAL EM SAÚDE MENTAL E TRANSTORNOS ADITIVOS NO SEMINÁRIO DE MEIO TERMO DA CAPES/MEC</v>
      </c>
      <c r="I21" s="9" t="s">
        <v>65</v>
      </c>
      <c r="J21" s="17">
        <v>43678</v>
      </c>
      <c r="K21" s="10">
        <v>19</v>
      </c>
      <c r="L21" s="11">
        <v>21</v>
      </c>
      <c r="M21" s="57">
        <v>130.68</v>
      </c>
      <c r="N21" s="57">
        <v>127.69</v>
      </c>
      <c r="O21" s="57"/>
      <c r="P21" s="54">
        <v>0</v>
      </c>
      <c r="Q21" s="13">
        <f>610.98+478.39</f>
        <v>1089.3699999999999</v>
      </c>
      <c r="R21" s="313">
        <f>625.6+22</f>
        <v>647.6</v>
      </c>
      <c r="S21" s="93">
        <f t="shared" si="0"/>
        <v>1995.3399999999997</v>
      </c>
      <c r="T21" s="15"/>
      <c r="U21" s="15"/>
      <c r="V21" s="15"/>
      <c r="W21" s="15"/>
    </row>
    <row r="22" spans="2:23" s="16" customFormat="1" ht="37.5" customHeight="1">
      <c r="B22" s="94">
        <v>19</v>
      </c>
      <c r="C22" s="55" t="s">
        <v>605</v>
      </c>
      <c r="D22" s="10" t="s">
        <v>70</v>
      </c>
      <c r="E22" s="230" t="s">
        <v>484</v>
      </c>
      <c r="F22" s="236" t="s">
        <v>128</v>
      </c>
      <c r="G22" s="164" t="s">
        <v>666</v>
      </c>
      <c r="H22" s="9" t="str">
        <f t="shared" si="1"/>
        <v>REUNIÃO COM A PROFª MARIA FERNANDA NOGUEIRA BITTENCOURT - SECRETÁRIA EXECUTIVA ADJUNTA DO MINISTÉRIO DA EDUCAÇÃO</v>
      </c>
      <c r="I22" s="9" t="s">
        <v>65</v>
      </c>
      <c r="J22" s="17">
        <v>43647</v>
      </c>
      <c r="K22" s="10">
        <v>23</v>
      </c>
      <c r="L22" s="11">
        <v>23</v>
      </c>
      <c r="M22" s="57"/>
      <c r="N22" s="57">
        <v>54.34</v>
      </c>
      <c r="O22" s="57"/>
      <c r="P22" s="54">
        <v>0</v>
      </c>
      <c r="Q22" s="13">
        <v>2687.37</v>
      </c>
      <c r="R22" s="313">
        <v>500</v>
      </c>
      <c r="S22" s="93">
        <f t="shared" si="0"/>
        <v>3241.71</v>
      </c>
      <c r="T22" s="15"/>
      <c r="U22" s="15"/>
      <c r="V22" s="15"/>
      <c r="W22" s="15"/>
    </row>
    <row r="23" spans="2:23" s="16" customFormat="1" ht="35.25" customHeight="1">
      <c r="B23" s="94">
        <v>20</v>
      </c>
      <c r="C23" s="55" t="s">
        <v>606</v>
      </c>
      <c r="D23" s="10" t="s">
        <v>639</v>
      </c>
      <c r="E23" s="230" t="s">
        <v>624</v>
      </c>
      <c r="F23" s="236" t="s">
        <v>651</v>
      </c>
      <c r="G23" s="164" t="s">
        <v>666</v>
      </c>
      <c r="H23" s="9" t="str">
        <f t="shared" si="1"/>
        <v>REUNIÃO COM A PROFª MARIA FERNANDA NOGUEIRA BITTENCOURT - SECRETÁRIA EXECUTIVA ADJUNTA DO MINISTÉRIO DA EDUCAÇÃO</v>
      </c>
      <c r="I23" s="9" t="s">
        <v>65</v>
      </c>
      <c r="J23" s="17">
        <v>43647</v>
      </c>
      <c r="K23" s="10">
        <v>22</v>
      </c>
      <c r="L23" s="11">
        <v>23</v>
      </c>
      <c r="M23" s="57">
        <v>32</v>
      </c>
      <c r="N23" s="57">
        <v>82.06</v>
      </c>
      <c r="O23" s="57"/>
      <c r="P23" s="54">
        <v>56</v>
      </c>
      <c r="Q23" s="13">
        <f>979.98+868.39</f>
        <v>1848.37</v>
      </c>
      <c r="R23" s="14">
        <f>378.35+130.3</f>
        <v>508.65000000000003</v>
      </c>
      <c r="S23" s="93">
        <f t="shared" si="0"/>
        <v>2527.08</v>
      </c>
      <c r="T23" s="15"/>
      <c r="U23" s="15"/>
      <c r="V23" s="15"/>
      <c r="W23" s="15"/>
    </row>
    <row r="24" spans="2:23" s="16" customFormat="1" ht="24.75" customHeight="1">
      <c r="B24" s="94">
        <v>21</v>
      </c>
      <c r="C24" s="55" t="s">
        <v>607</v>
      </c>
      <c r="D24" s="10" t="s">
        <v>640</v>
      </c>
      <c r="E24" s="230" t="s">
        <v>625</v>
      </c>
      <c r="F24" s="194" t="s">
        <v>652</v>
      </c>
      <c r="G24" s="9" t="s">
        <v>667</v>
      </c>
      <c r="H24" s="9" t="str">
        <f t="shared" si="1"/>
        <v>EVENTO AGILE TRENDS GOV TEAMS/MANAGEMENT</v>
      </c>
      <c r="I24" s="9" t="s">
        <v>65</v>
      </c>
      <c r="J24" s="17">
        <v>43678</v>
      </c>
      <c r="K24" s="10">
        <v>20</v>
      </c>
      <c r="L24" s="11">
        <v>23</v>
      </c>
      <c r="M24" s="57">
        <v>162.54</v>
      </c>
      <c r="N24" s="57">
        <v>67.62</v>
      </c>
      <c r="O24" s="57"/>
      <c r="P24" s="54">
        <v>0</v>
      </c>
      <c r="Q24" s="13">
        <v>1273.8699999999999</v>
      </c>
      <c r="R24" s="313">
        <f>822.8+70.4</f>
        <v>893.19999999999993</v>
      </c>
      <c r="S24" s="93">
        <f t="shared" si="0"/>
        <v>2397.23</v>
      </c>
      <c r="T24" s="15"/>
      <c r="U24" s="15"/>
      <c r="V24" s="15"/>
      <c r="W24" s="15"/>
    </row>
    <row r="25" spans="2:23" s="16" customFormat="1" ht="30" customHeight="1">
      <c r="B25" s="94">
        <v>22</v>
      </c>
      <c r="C25" s="55" t="s">
        <v>608</v>
      </c>
      <c r="D25" s="10" t="s">
        <v>227</v>
      </c>
      <c r="E25" s="230" t="s">
        <v>516</v>
      </c>
      <c r="F25" s="237" t="s">
        <v>455</v>
      </c>
      <c r="G25" s="164" t="s">
        <v>668</v>
      </c>
      <c r="H25" s="9" t="str">
        <f t="shared" si="1"/>
        <v>REUNIÃO COM O PROCURADOR-GERAL DA UNIÃO NA PGU</v>
      </c>
      <c r="I25" s="9" t="s">
        <v>65</v>
      </c>
      <c r="J25" s="17">
        <v>43647</v>
      </c>
      <c r="K25" s="10">
        <v>23</v>
      </c>
      <c r="L25" s="11">
        <v>23</v>
      </c>
      <c r="M25" s="57">
        <v>0</v>
      </c>
      <c r="N25" s="57">
        <v>93.5</v>
      </c>
      <c r="O25" s="57"/>
      <c r="P25" s="54">
        <f>24+47+35</f>
        <v>106</v>
      </c>
      <c r="Q25" s="13">
        <f>1530.98+978.39</f>
        <v>2509.37</v>
      </c>
      <c r="R25" s="14">
        <v>0</v>
      </c>
      <c r="S25" s="93">
        <f t="shared" si="0"/>
        <v>2708.87</v>
      </c>
      <c r="T25" s="15"/>
      <c r="U25" s="15"/>
      <c r="V25" s="15"/>
      <c r="W25" s="15"/>
    </row>
    <row r="26" spans="2:23" s="16" customFormat="1" ht="46.5" customHeight="1">
      <c r="B26" s="94">
        <v>23</v>
      </c>
      <c r="C26" s="55" t="s">
        <v>609</v>
      </c>
      <c r="D26" s="10" t="s">
        <v>225</v>
      </c>
      <c r="E26" s="230" t="s">
        <v>515</v>
      </c>
      <c r="F26" s="194" t="s">
        <v>226</v>
      </c>
      <c r="G26" s="164" t="s">
        <v>669</v>
      </c>
      <c r="H26" s="9" t="str">
        <f t="shared" si="1"/>
        <v>REUNIÃO COM A COORDENAÇÃO DE POLÍTICA DE PESSOAL DE ESTATAIS DA SECRETARIA DE COORDENAÇÃO E GOVERNANÇA DAS EMPRESAS ESTATAIS (SEST), SOBRE O CUMPRIMENTO DE LEGISLAÇÃO DE GESTANTES E LACTANTES EM ATIVIDADES INSALUBRES.</v>
      </c>
      <c r="I26" s="9" t="s">
        <v>65</v>
      </c>
      <c r="J26" s="17">
        <v>43647</v>
      </c>
      <c r="K26" s="10">
        <v>24</v>
      </c>
      <c r="L26" s="11">
        <v>24</v>
      </c>
      <c r="M26" s="57">
        <v>159.22999999999999</v>
      </c>
      <c r="N26" s="57">
        <v>107.8</v>
      </c>
      <c r="O26" s="57"/>
      <c r="P26" s="54">
        <v>0</v>
      </c>
      <c r="Q26" s="13">
        <v>2360.4699999999998</v>
      </c>
      <c r="R26" s="14">
        <v>0</v>
      </c>
      <c r="S26" s="93">
        <f t="shared" si="0"/>
        <v>2627.5</v>
      </c>
      <c r="T26" s="15"/>
      <c r="U26" s="15"/>
      <c r="V26" s="15"/>
      <c r="W26" s="15"/>
    </row>
    <row r="27" spans="2:23" s="16" customFormat="1" ht="25.5" customHeight="1" thickBot="1">
      <c r="B27" s="95">
        <v>24</v>
      </c>
      <c r="C27" s="96" t="s">
        <v>610</v>
      </c>
      <c r="D27" s="100" t="s">
        <v>641</v>
      </c>
      <c r="E27" s="246" t="s">
        <v>497</v>
      </c>
      <c r="F27" s="306" t="s">
        <v>653</v>
      </c>
      <c r="G27" s="204" t="s">
        <v>670</v>
      </c>
      <c r="H27" s="98" t="str">
        <f t="shared" si="1"/>
        <v>JULGAMENTO NO TRIBUNAL SUPERIOR DO TRABALHO</v>
      </c>
      <c r="I27" s="98" t="s">
        <v>65</v>
      </c>
      <c r="J27" s="99" t="s">
        <v>673</v>
      </c>
      <c r="K27" s="100">
        <v>31</v>
      </c>
      <c r="L27" s="101">
        <v>1</v>
      </c>
      <c r="M27" s="125">
        <v>0</v>
      </c>
      <c r="N27" s="125">
        <v>0</v>
      </c>
      <c r="O27" s="125"/>
      <c r="P27" s="102">
        <f>30+58+21+21+25+46+45</f>
        <v>246</v>
      </c>
      <c r="Q27" s="103">
        <f>1818.98+1817.39</f>
        <v>3636.37</v>
      </c>
      <c r="R27" s="104">
        <f>370.3+118.8</f>
        <v>489.1</v>
      </c>
      <c r="S27" s="105">
        <f t="shared" si="0"/>
        <v>4371.47</v>
      </c>
      <c r="T27" s="15"/>
      <c r="U27" s="15"/>
      <c r="V27" s="15"/>
      <c r="W27" s="15"/>
    </row>
    <row r="28" spans="2:23" s="15" customFormat="1" ht="24.75" customHeight="1" thickBot="1">
      <c r="B28" s="19"/>
      <c r="C28" s="20"/>
      <c r="D28" s="21"/>
      <c r="E28" s="21"/>
      <c r="F28" s="21"/>
      <c r="G28" s="21"/>
      <c r="H28" s="21"/>
      <c r="I28" s="21"/>
      <c r="J28" s="22"/>
      <c r="K28" s="23"/>
      <c r="L28" s="24"/>
      <c r="M28" s="25"/>
      <c r="N28" s="25"/>
      <c r="O28" s="25"/>
      <c r="P28" s="26"/>
      <c r="Q28" s="27"/>
      <c r="R28" s="28"/>
      <c r="S28" s="29"/>
    </row>
    <row r="29" spans="2:23" s="30" customFormat="1" ht="15.75" customHeight="1" thickBot="1">
      <c r="B29" s="284" t="s">
        <v>31</v>
      </c>
      <c r="C29" s="31"/>
      <c r="D29" s="147" t="s">
        <v>41</v>
      </c>
      <c r="E29" s="184"/>
      <c r="F29" s="31"/>
      <c r="G29" s="31"/>
      <c r="H29" s="31"/>
      <c r="I29" s="33"/>
      <c r="J29" s="31"/>
      <c r="K29" s="19"/>
      <c r="L29" s="32"/>
      <c r="M29" s="35">
        <f t="shared" ref="M29:R29" si="2">SUM(M4:M27)</f>
        <v>826.1</v>
      </c>
      <c r="N29" s="35">
        <f t="shared" si="2"/>
        <v>1034.3100000000002</v>
      </c>
      <c r="O29" s="35">
        <f t="shared" si="2"/>
        <v>0</v>
      </c>
      <c r="P29" s="119">
        <f t="shared" si="2"/>
        <v>718.8</v>
      </c>
      <c r="Q29" s="37">
        <f t="shared" si="2"/>
        <v>42697.520000000004</v>
      </c>
      <c r="R29" s="38">
        <f t="shared" si="2"/>
        <v>5471.35</v>
      </c>
      <c r="S29" s="36">
        <f>SUM(S4:S27)+P30</f>
        <v>50755.268000000004</v>
      </c>
    </row>
    <row r="30" spans="2:23" s="39" customFormat="1" ht="24.75" customHeight="1" thickBot="1">
      <c r="C30" s="40"/>
      <c r="D30" s="358"/>
      <c r="E30" s="358"/>
      <c r="F30" s="358"/>
      <c r="G30" s="358"/>
      <c r="H30" s="358"/>
      <c r="I30" s="358"/>
      <c r="J30" s="358"/>
      <c r="K30" s="358"/>
      <c r="L30" s="41"/>
      <c r="M30" s="42"/>
      <c r="N30" s="42"/>
      <c r="O30" s="87" t="s">
        <v>31</v>
      </c>
      <c r="P30" s="26">
        <f>P29*1%</f>
        <v>7.1879999999999997</v>
      </c>
      <c r="S30" s="43"/>
    </row>
    <row r="31" spans="2:23" s="39" customFormat="1" ht="24.75" customHeight="1" thickBot="1">
      <c r="C31" s="40"/>
      <c r="D31" s="40"/>
      <c r="E31" s="40"/>
      <c r="F31" s="40"/>
      <c r="G31" s="40"/>
      <c r="H31" s="40"/>
      <c r="I31" s="44"/>
      <c r="J31" s="40"/>
      <c r="K31" s="40"/>
      <c r="L31" s="41"/>
      <c r="M31" s="42"/>
      <c r="N31" s="42"/>
      <c r="O31" s="42"/>
      <c r="P31" s="89">
        <f>P29+P30</f>
        <v>725.98799999999994</v>
      </c>
      <c r="Q31" s="45"/>
      <c r="R31" s="43"/>
      <c r="S31" s="46" t="s">
        <v>8</v>
      </c>
    </row>
    <row r="32" spans="2:23" s="39" customFormat="1" ht="24.75" customHeight="1">
      <c r="C32" s="40"/>
      <c r="D32" s="359"/>
      <c r="E32" s="359"/>
      <c r="F32" s="359"/>
      <c r="G32" s="359"/>
      <c r="H32" s="359"/>
      <c r="I32" s="359"/>
      <c r="J32" s="359"/>
      <c r="K32" s="359"/>
      <c r="L32" s="41"/>
      <c r="M32" s="42"/>
      <c r="N32" s="42"/>
      <c r="O32" s="42"/>
      <c r="P32" s="26"/>
      <c r="Q32" s="5" t="s">
        <v>7</v>
      </c>
      <c r="R32" s="138">
        <f>M29+N29+O29+P31+Q29+R29</f>
        <v>50755.268000000004</v>
      </c>
      <c r="S32" s="47">
        <f>S29-R32</f>
        <v>0</v>
      </c>
    </row>
    <row r="33" spans="3:16" ht="24.75" customHeight="1">
      <c r="C33" s="48"/>
      <c r="D33" s="49"/>
      <c r="E33" s="49"/>
      <c r="F33" s="49"/>
      <c r="G33" s="49"/>
      <c r="H33" s="49"/>
      <c r="I33" s="50"/>
      <c r="J33" s="51"/>
      <c r="K33" s="51"/>
      <c r="L33" s="51"/>
      <c r="O33" s="87" t="s">
        <v>31</v>
      </c>
      <c r="P33" s="26" t="s">
        <v>32</v>
      </c>
    </row>
    <row r="34" spans="3:16" ht="24.75" customHeight="1">
      <c r="C34" s="48"/>
      <c r="D34" s="49"/>
      <c r="E34" s="49"/>
      <c r="F34" s="49"/>
      <c r="G34" s="49"/>
      <c r="H34" s="49"/>
      <c r="I34" s="50"/>
      <c r="J34" s="51"/>
      <c r="K34" s="51"/>
      <c r="L34" s="51"/>
      <c r="P34" s="26"/>
    </row>
    <row r="35" spans="3:16" ht="24.75" customHeight="1">
      <c r="C35" s="48"/>
      <c r="D35" s="49"/>
      <c r="E35" s="49"/>
      <c r="F35" s="49"/>
      <c r="G35" s="49"/>
      <c r="H35" s="49"/>
      <c r="I35" s="50"/>
      <c r="J35" s="51"/>
      <c r="K35" s="51"/>
      <c r="L35" s="51"/>
      <c r="P35" s="26"/>
    </row>
    <row r="36" spans="3:16" ht="24.75" customHeight="1">
      <c r="C36" s="48"/>
      <c r="D36" s="49"/>
      <c r="E36" s="49"/>
      <c r="F36" s="49"/>
      <c r="G36" s="49"/>
      <c r="H36" s="49"/>
      <c r="I36" s="50"/>
      <c r="J36" s="51"/>
      <c r="K36" s="51"/>
      <c r="L36" s="51"/>
      <c r="P36" s="26"/>
    </row>
    <row r="37" spans="3:16" ht="24.75" customHeight="1">
      <c r="C37" s="48"/>
      <c r="D37" s="49"/>
      <c r="E37" s="49"/>
      <c r="F37" s="49"/>
      <c r="G37" s="49"/>
      <c r="H37" s="49"/>
      <c r="I37" s="50"/>
      <c r="J37" s="51"/>
      <c r="K37" s="51"/>
      <c r="L37" s="51"/>
      <c r="P37" s="26"/>
    </row>
    <row r="38" spans="3:16" ht="24.75" customHeight="1">
      <c r="C38" s="48"/>
      <c r="D38" s="49"/>
      <c r="E38" s="49"/>
      <c r="F38" s="49"/>
      <c r="G38" s="49"/>
      <c r="H38" s="49"/>
      <c r="I38" s="50"/>
      <c r="J38" s="51"/>
      <c r="K38" s="51"/>
      <c r="L38" s="51"/>
      <c r="P38" s="26"/>
    </row>
    <row r="39" spans="3:16" ht="24.75" customHeight="1">
      <c r="C39" s="48"/>
      <c r="D39" s="49"/>
      <c r="E39" s="49"/>
      <c r="F39" s="49"/>
      <c r="G39" s="49"/>
      <c r="H39" s="49"/>
      <c r="I39" s="50"/>
      <c r="J39" s="51"/>
      <c r="K39" s="51"/>
      <c r="L39" s="51"/>
      <c r="P39" s="26"/>
    </row>
    <row r="40" spans="3:16" ht="24.75" customHeight="1">
      <c r="C40" s="48"/>
      <c r="D40" s="49"/>
      <c r="E40" s="49"/>
      <c r="F40" s="49"/>
      <c r="G40" s="49"/>
      <c r="H40" s="49"/>
      <c r="I40" s="50"/>
      <c r="J40" s="51"/>
      <c r="K40" s="51"/>
      <c r="L40" s="51"/>
      <c r="P40" s="26"/>
    </row>
    <row r="41" spans="3:16" ht="24.75" customHeight="1">
      <c r="C41" s="48"/>
      <c r="I41" s="50"/>
      <c r="J41" s="51"/>
      <c r="K41" s="51"/>
      <c r="L41" s="51"/>
      <c r="P41" s="26"/>
    </row>
    <row r="42" spans="3:16" ht="24.75" customHeight="1">
      <c r="C42" s="48"/>
      <c r="D42" s="49"/>
      <c r="E42" s="49"/>
      <c r="F42" s="49"/>
      <c r="G42" s="49"/>
      <c r="H42" s="49"/>
      <c r="I42" s="50"/>
      <c r="J42" s="51"/>
      <c r="K42" s="51"/>
      <c r="L42" s="51"/>
      <c r="P42" s="26"/>
    </row>
    <row r="43" spans="3:16" ht="24.75" customHeight="1">
      <c r="C43" s="48"/>
      <c r="D43" s="49"/>
      <c r="E43" s="49"/>
      <c r="F43" s="49"/>
      <c r="G43" s="49"/>
      <c r="H43" s="49"/>
      <c r="I43" s="50"/>
      <c r="J43" s="51"/>
      <c r="K43" s="51"/>
      <c r="L43" s="51"/>
      <c r="P43" s="52"/>
    </row>
    <row r="44" spans="3:16" ht="24.75" customHeight="1">
      <c r="C44" s="48"/>
      <c r="D44" s="49"/>
      <c r="E44" s="49"/>
      <c r="F44" s="49"/>
      <c r="G44" s="49"/>
      <c r="H44" s="49"/>
      <c r="I44" s="50"/>
      <c r="J44" s="51"/>
      <c r="K44" s="51"/>
      <c r="L44" s="51"/>
      <c r="P44" s="39"/>
    </row>
    <row r="45" spans="3:16" ht="24.75" customHeight="1">
      <c r="C45" s="48"/>
      <c r="D45" s="49"/>
      <c r="E45" s="49"/>
      <c r="F45" s="49"/>
      <c r="G45" s="49"/>
      <c r="H45" s="49"/>
      <c r="I45" s="50"/>
      <c r="J45" s="51"/>
      <c r="K45" s="51"/>
      <c r="L45" s="51"/>
      <c r="P45" s="39"/>
    </row>
    <row r="46" spans="3:16" ht="24.75" customHeight="1">
      <c r="C46" s="48"/>
      <c r="D46" s="49"/>
      <c r="E46" s="49"/>
      <c r="F46" s="49"/>
      <c r="G46" s="49"/>
      <c r="H46" s="49"/>
      <c r="I46" s="50"/>
      <c r="J46" s="51"/>
      <c r="K46" s="51"/>
      <c r="L46" s="51"/>
      <c r="P46" s="39"/>
    </row>
    <row r="47" spans="3:16" ht="24.75" customHeight="1">
      <c r="C47" s="48"/>
      <c r="D47" s="49"/>
      <c r="E47" s="49"/>
      <c r="F47" s="49"/>
      <c r="G47" s="49"/>
      <c r="H47" s="49"/>
      <c r="I47" s="50"/>
      <c r="J47" s="51"/>
      <c r="K47" s="51"/>
      <c r="L47" s="51"/>
    </row>
    <row r="48" spans="3:16" ht="24.75" customHeight="1">
      <c r="C48" s="48"/>
      <c r="D48" s="49"/>
      <c r="E48" s="49"/>
      <c r="F48" s="49"/>
      <c r="G48" s="49"/>
      <c r="H48" s="49"/>
      <c r="I48" s="50"/>
      <c r="J48" s="51"/>
      <c r="K48" s="51"/>
      <c r="L48" s="51"/>
    </row>
    <row r="49" spans="3:12" ht="24.75" customHeight="1">
      <c r="C49" s="48"/>
      <c r="D49" s="49"/>
      <c r="E49" s="49"/>
      <c r="F49" s="49"/>
      <c r="G49" s="49"/>
      <c r="H49" s="49"/>
      <c r="I49" s="50"/>
      <c r="J49" s="51"/>
      <c r="K49" s="51"/>
      <c r="L49" s="51"/>
    </row>
    <row r="50" spans="3:12" ht="24.75" customHeight="1">
      <c r="C50" s="48"/>
      <c r="D50" s="49"/>
      <c r="E50" s="49"/>
      <c r="F50" s="49"/>
      <c r="G50" s="49"/>
      <c r="H50" s="49"/>
      <c r="I50" s="50"/>
      <c r="J50" s="51"/>
      <c r="K50" s="51"/>
      <c r="L50" s="51"/>
    </row>
    <row r="51" spans="3:12" ht="24.75" customHeight="1">
      <c r="C51" s="48"/>
      <c r="D51" s="49"/>
      <c r="E51" s="49"/>
      <c r="F51" s="49"/>
      <c r="G51" s="49"/>
      <c r="H51" s="49"/>
      <c r="I51" s="50"/>
      <c r="J51" s="51"/>
      <c r="K51" s="51"/>
      <c r="L51" s="51"/>
    </row>
    <row r="52" spans="3:12" ht="24.75" customHeight="1">
      <c r="C52" s="48"/>
      <c r="D52" s="49"/>
      <c r="E52" s="49"/>
      <c r="F52" s="49"/>
      <c r="G52" s="49"/>
      <c r="H52" s="49"/>
      <c r="I52" s="50"/>
      <c r="J52" s="51"/>
      <c r="K52" s="51"/>
      <c r="L52" s="51"/>
    </row>
    <row r="53" spans="3:12" ht="24.75" customHeight="1">
      <c r="C53" s="48"/>
      <c r="D53" s="49"/>
      <c r="E53" s="49"/>
      <c r="F53" s="49"/>
      <c r="G53" s="49"/>
      <c r="H53" s="49"/>
      <c r="I53" s="50"/>
      <c r="J53" s="51"/>
      <c r="K53" s="51"/>
      <c r="L53" s="51"/>
    </row>
    <row r="54" spans="3:12" ht="24.75" customHeight="1">
      <c r="C54" s="48"/>
      <c r="D54" s="49"/>
      <c r="E54" s="49"/>
      <c r="F54" s="49"/>
      <c r="G54" s="49"/>
      <c r="H54" s="49"/>
      <c r="I54" s="50"/>
      <c r="J54" s="51"/>
      <c r="K54" s="51"/>
      <c r="L54" s="51"/>
    </row>
    <row r="55" spans="3:12" ht="24.75" customHeight="1">
      <c r="C55" s="48"/>
      <c r="D55" s="49"/>
      <c r="E55" s="49"/>
      <c r="F55" s="49"/>
      <c r="G55" s="49"/>
      <c r="H55" s="49"/>
      <c r="I55" s="50"/>
      <c r="J55" s="51"/>
      <c r="K55" s="51"/>
      <c r="L55" s="51"/>
    </row>
    <row r="56" spans="3:12" ht="24.75" customHeight="1">
      <c r="C56" s="48"/>
      <c r="D56" s="49"/>
      <c r="E56" s="49"/>
      <c r="F56" s="49"/>
      <c r="G56" s="49"/>
      <c r="H56" s="49"/>
      <c r="I56" s="50"/>
      <c r="J56" s="51"/>
      <c r="K56" s="51"/>
      <c r="L56" s="51"/>
    </row>
    <row r="57" spans="3:12" ht="24.75" customHeight="1">
      <c r="C57" s="48"/>
      <c r="D57" s="49"/>
      <c r="E57" s="49"/>
      <c r="F57" s="49"/>
      <c r="G57" s="49"/>
      <c r="H57" s="49"/>
      <c r="I57" s="50"/>
      <c r="J57" s="51"/>
      <c r="K57" s="51"/>
      <c r="L57" s="51"/>
    </row>
    <row r="58" spans="3:12" ht="24.75" customHeight="1">
      <c r="C58" s="48"/>
      <c r="D58" s="49"/>
      <c r="E58" s="49"/>
      <c r="F58" s="49"/>
      <c r="G58" s="49"/>
      <c r="H58" s="49"/>
      <c r="I58" s="50"/>
      <c r="J58" s="51"/>
      <c r="K58" s="51"/>
      <c r="L58" s="51"/>
    </row>
    <row r="59" spans="3:12" ht="24.75" customHeight="1">
      <c r="C59" s="48"/>
      <c r="D59" s="49"/>
      <c r="E59" s="49"/>
      <c r="F59" s="49"/>
      <c r="G59" s="49"/>
      <c r="H59" s="49"/>
      <c r="I59" s="50"/>
      <c r="J59" s="51"/>
      <c r="K59" s="51"/>
      <c r="L59" s="51"/>
    </row>
    <row r="60" spans="3:12" ht="24.75" customHeight="1">
      <c r="C60" s="48"/>
      <c r="D60" s="49"/>
      <c r="E60" s="49"/>
      <c r="F60" s="49"/>
      <c r="G60" s="49"/>
      <c r="H60" s="49"/>
      <c r="I60" s="50"/>
      <c r="J60" s="51"/>
      <c r="K60" s="51"/>
      <c r="L60" s="51"/>
    </row>
    <row r="61" spans="3:12" ht="24.75" customHeight="1">
      <c r="C61" s="48"/>
      <c r="D61" s="49"/>
      <c r="E61" s="49"/>
      <c r="F61" s="49"/>
      <c r="G61" s="49"/>
      <c r="H61" s="49"/>
      <c r="I61" s="50"/>
      <c r="J61" s="51"/>
      <c r="K61" s="51"/>
      <c r="L61" s="51"/>
    </row>
    <row r="62" spans="3:12" ht="24.75" customHeight="1">
      <c r="C62" s="48"/>
      <c r="D62" s="49"/>
      <c r="E62" s="49"/>
      <c r="F62" s="49"/>
      <c r="G62" s="49"/>
      <c r="H62" s="49"/>
      <c r="I62" s="50"/>
      <c r="J62" s="51"/>
      <c r="K62" s="51"/>
      <c r="L62" s="51"/>
    </row>
    <row r="63" spans="3:12" ht="24.75" customHeight="1">
      <c r="C63" s="48"/>
      <c r="D63" s="49"/>
      <c r="E63" s="49"/>
      <c r="F63" s="49"/>
      <c r="G63" s="49"/>
      <c r="H63" s="49"/>
      <c r="I63" s="50"/>
      <c r="J63" s="51"/>
      <c r="K63" s="51"/>
      <c r="L63" s="51"/>
    </row>
    <row r="64" spans="3:12" ht="24.75" customHeight="1">
      <c r="C64" s="48"/>
      <c r="D64" s="49"/>
      <c r="E64" s="49"/>
      <c r="F64" s="49"/>
      <c r="G64" s="49"/>
      <c r="H64" s="49"/>
      <c r="I64" s="50"/>
      <c r="J64" s="51"/>
      <c r="K64" s="51"/>
      <c r="L64" s="51"/>
    </row>
    <row r="65" spans="3:12" ht="24.75" customHeight="1">
      <c r="C65" s="48"/>
      <c r="D65" s="49"/>
      <c r="E65" s="49"/>
      <c r="F65" s="49"/>
      <c r="G65" s="49"/>
      <c r="H65" s="49"/>
      <c r="I65" s="50"/>
      <c r="J65" s="51"/>
      <c r="K65" s="51"/>
      <c r="L65" s="51"/>
    </row>
    <row r="66" spans="3:12" ht="24.75" customHeight="1">
      <c r="C66" s="48"/>
      <c r="D66" s="49"/>
      <c r="E66" s="49"/>
      <c r="F66" s="49"/>
      <c r="G66" s="49"/>
      <c r="H66" s="49"/>
      <c r="I66" s="50"/>
      <c r="J66" s="51"/>
      <c r="K66" s="51"/>
      <c r="L66" s="51"/>
    </row>
    <row r="67" spans="3:12" ht="24.75" customHeight="1">
      <c r="C67" s="48"/>
      <c r="D67" s="49"/>
      <c r="E67" s="49"/>
      <c r="F67" s="49"/>
      <c r="G67" s="49"/>
      <c r="H67" s="49"/>
      <c r="I67" s="50"/>
      <c r="J67" s="51"/>
      <c r="K67" s="51"/>
      <c r="L67" s="51"/>
    </row>
    <row r="68" spans="3:12" ht="24.75" customHeight="1">
      <c r="C68" s="48"/>
      <c r="D68" s="49"/>
      <c r="E68" s="49"/>
      <c r="F68" s="49"/>
      <c r="G68" s="49"/>
      <c r="H68" s="49"/>
      <c r="I68" s="50"/>
      <c r="J68" s="51"/>
      <c r="K68" s="51"/>
      <c r="L68" s="51"/>
    </row>
    <row r="69" spans="3:12" ht="24.75" customHeight="1">
      <c r="C69" s="48"/>
      <c r="D69" s="49"/>
      <c r="E69" s="49"/>
      <c r="F69" s="49"/>
      <c r="G69" s="49"/>
      <c r="H69" s="49"/>
      <c r="I69" s="50"/>
      <c r="J69" s="51"/>
      <c r="K69" s="51"/>
      <c r="L69" s="51"/>
    </row>
    <row r="70" spans="3:12" ht="24.75" customHeight="1">
      <c r="C70" s="48"/>
      <c r="D70" s="49"/>
      <c r="E70" s="49"/>
      <c r="F70" s="49"/>
      <c r="G70" s="49"/>
      <c r="H70" s="49"/>
      <c r="I70" s="50"/>
      <c r="J70" s="51"/>
      <c r="K70" s="51"/>
      <c r="L70" s="51"/>
    </row>
    <row r="71" spans="3:12" ht="24.75" customHeight="1">
      <c r="C71" s="48"/>
      <c r="D71" s="49"/>
      <c r="E71" s="49"/>
      <c r="F71" s="49"/>
      <c r="G71" s="49"/>
      <c r="H71" s="49"/>
      <c r="I71" s="50"/>
      <c r="J71" s="51"/>
      <c r="K71" s="51"/>
      <c r="L71" s="51"/>
    </row>
    <row r="72" spans="3:12" ht="24.75" customHeight="1">
      <c r="C72" s="48"/>
      <c r="D72" s="49"/>
      <c r="E72" s="49"/>
      <c r="F72" s="49"/>
      <c r="G72" s="49"/>
      <c r="H72" s="49"/>
      <c r="I72" s="50"/>
      <c r="J72" s="51"/>
      <c r="K72" s="51"/>
      <c r="L72" s="51"/>
    </row>
    <row r="73" spans="3:12" ht="24.75" customHeight="1">
      <c r="C73" s="48"/>
      <c r="D73" s="49"/>
      <c r="E73" s="49"/>
      <c r="F73" s="49"/>
      <c r="G73" s="49"/>
      <c r="H73" s="49"/>
      <c r="I73" s="50"/>
      <c r="J73" s="51"/>
      <c r="K73" s="51"/>
      <c r="L73" s="51"/>
    </row>
    <row r="74" spans="3:12" ht="24.75" customHeight="1">
      <c r="C74" s="48"/>
      <c r="D74" s="49"/>
      <c r="E74" s="49"/>
      <c r="F74" s="49"/>
      <c r="G74" s="49"/>
      <c r="H74" s="49"/>
      <c r="I74" s="50"/>
      <c r="J74" s="51"/>
      <c r="K74" s="51"/>
      <c r="L74" s="51"/>
    </row>
    <row r="75" spans="3:12" ht="24.75" customHeight="1">
      <c r="C75" s="48"/>
      <c r="D75" s="49"/>
      <c r="E75" s="49"/>
      <c r="F75" s="49"/>
      <c r="G75" s="49"/>
      <c r="H75" s="49"/>
      <c r="I75" s="50"/>
      <c r="J75" s="51"/>
      <c r="K75" s="51"/>
      <c r="L75" s="51"/>
    </row>
    <row r="76" spans="3:12" ht="24.75" customHeight="1">
      <c r="C76" s="48"/>
      <c r="D76" s="49"/>
      <c r="E76" s="49"/>
      <c r="F76" s="49"/>
      <c r="G76" s="49"/>
      <c r="H76" s="49"/>
      <c r="I76" s="50"/>
      <c r="J76" s="51"/>
      <c r="K76" s="51"/>
      <c r="L76" s="51"/>
    </row>
    <row r="77" spans="3:12" ht="24.75" customHeight="1">
      <c r="C77" s="48"/>
      <c r="D77" s="49"/>
      <c r="E77" s="49"/>
      <c r="F77" s="49"/>
      <c r="G77" s="49"/>
      <c r="H77" s="49"/>
      <c r="I77" s="50"/>
      <c r="J77" s="51"/>
      <c r="K77" s="51"/>
      <c r="L77" s="51"/>
    </row>
    <row r="78" spans="3:12" ht="24.75" customHeight="1">
      <c r="C78" s="48"/>
      <c r="D78" s="49"/>
      <c r="E78" s="49"/>
      <c r="F78" s="49"/>
      <c r="G78" s="49"/>
      <c r="H78" s="49"/>
      <c r="I78" s="50"/>
      <c r="J78" s="51"/>
      <c r="K78" s="51"/>
      <c r="L78" s="51"/>
    </row>
    <row r="79" spans="3:12" ht="24.75" customHeight="1">
      <c r="C79" s="48"/>
      <c r="D79" s="49"/>
      <c r="E79" s="49"/>
      <c r="F79" s="49"/>
      <c r="G79" s="49"/>
      <c r="H79" s="49"/>
      <c r="I79" s="50"/>
      <c r="J79" s="51"/>
      <c r="K79" s="51"/>
      <c r="L79" s="51"/>
    </row>
    <row r="80" spans="3:12" ht="24.75" customHeight="1">
      <c r="C80" s="48"/>
      <c r="D80" s="49"/>
      <c r="E80" s="49"/>
      <c r="F80" s="49"/>
      <c r="G80" s="49"/>
      <c r="H80" s="49"/>
      <c r="I80" s="50"/>
      <c r="J80" s="51"/>
      <c r="K80" s="51"/>
      <c r="L80" s="51"/>
    </row>
    <row r="81" spans="3:12" ht="24.75" customHeight="1">
      <c r="C81" s="48"/>
      <c r="D81" s="49"/>
      <c r="E81" s="49"/>
      <c r="F81" s="49"/>
      <c r="G81" s="49"/>
      <c r="H81" s="49"/>
      <c r="I81" s="50"/>
      <c r="J81" s="51"/>
      <c r="K81" s="51"/>
      <c r="L81" s="51"/>
    </row>
    <row r="82" spans="3:12" ht="24.75" customHeight="1">
      <c r="C82" s="48"/>
      <c r="D82" s="49"/>
      <c r="E82" s="49"/>
      <c r="F82" s="49"/>
      <c r="G82" s="49"/>
      <c r="H82" s="49"/>
      <c r="I82" s="50"/>
      <c r="J82" s="51"/>
      <c r="K82" s="51"/>
      <c r="L82" s="51"/>
    </row>
    <row r="83" spans="3:12" ht="24.75" customHeight="1">
      <c r="C83" s="48"/>
      <c r="D83" s="49"/>
      <c r="E83" s="49"/>
      <c r="F83" s="49"/>
      <c r="G83" s="49"/>
      <c r="H83" s="49"/>
      <c r="I83" s="50"/>
      <c r="J83" s="51"/>
      <c r="K83" s="51"/>
      <c r="L83" s="51"/>
    </row>
    <row r="84" spans="3:12" ht="24.75" customHeight="1">
      <c r="C84" s="48"/>
      <c r="D84" s="49"/>
      <c r="E84" s="49"/>
      <c r="F84" s="49"/>
      <c r="G84" s="49"/>
      <c r="H84" s="49"/>
      <c r="I84" s="50"/>
      <c r="J84" s="51"/>
      <c r="K84" s="51"/>
      <c r="L84" s="51"/>
    </row>
    <row r="85" spans="3:12" ht="24.75" customHeight="1">
      <c r="C85" s="48"/>
      <c r="D85" s="49"/>
      <c r="E85" s="49"/>
      <c r="F85" s="49"/>
      <c r="G85" s="49"/>
      <c r="H85" s="49"/>
      <c r="I85" s="50"/>
      <c r="J85" s="51"/>
      <c r="K85" s="51"/>
      <c r="L85" s="51"/>
    </row>
    <row r="86" spans="3:12" ht="24.75" customHeight="1">
      <c r="C86" s="48"/>
      <c r="D86" s="49"/>
      <c r="E86" s="49"/>
      <c r="F86" s="49"/>
      <c r="G86" s="49"/>
      <c r="H86" s="49"/>
      <c r="I86" s="50"/>
      <c r="J86" s="51"/>
      <c r="K86" s="51"/>
      <c r="L86" s="51"/>
    </row>
    <row r="87" spans="3:12" ht="24.75" customHeight="1">
      <c r="C87" s="48"/>
      <c r="D87" s="49"/>
      <c r="E87" s="49"/>
      <c r="F87" s="49"/>
      <c r="G87" s="49"/>
      <c r="H87" s="49"/>
      <c r="I87" s="50"/>
      <c r="J87" s="51"/>
      <c r="K87" s="51"/>
      <c r="L87" s="51"/>
    </row>
    <row r="88" spans="3:12" ht="24.75" customHeight="1">
      <c r="C88" s="48"/>
      <c r="D88" s="49"/>
      <c r="E88" s="49"/>
      <c r="F88" s="49"/>
      <c r="G88" s="49"/>
      <c r="H88" s="49"/>
      <c r="I88" s="50"/>
      <c r="J88" s="51"/>
      <c r="K88" s="51"/>
      <c r="L88" s="51"/>
    </row>
    <row r="89" spans="3:12" ht="24.75" customHeight="1">
      <c r="C89" s="48"/>
      <c r="D89" s="49"/>
      <c r="E89" s="49"/>
      <c r="F89" s="49"/>
      <c r="G89" s="49"/>
      <c r="H89" s="49"/>
      <c r="I89" s="50"/>
      <c r="J89" s="51"/>
      <c r="K89" s="51"/>
      <c r="L89" s="51"/>
    </row>
    <row r="90" spans="3:12" ht="24.75" customHeight="1">
      <c r="C90" s="48"/>
      <c r="D90" s="49"/>
      <c r="E90" s="49"/>
      <c r="F90" s="49"/>
      <c r="G90" s="49"/>
      <c r="H90" s="49"/>
      <c r="I90" s="50"/>
      <c r="J90" s="51"/>
      <c r="K90" s="51"/>
      <c r="L90" s="51"/>
    </row>
    <row r="91" spans="3:12" ht="24.75" customHeight="1">
      <c r="C91" s="48"/>
      <c r="D91" s="49"/>
      <c r="E91" s="49"/>
      <c r="F91" s="49"/>
      <c r="G91" s="49"/>
      <c r="H91" s="49"/>
      <c r="I91" s="50"/>
      <c r="J91" s="51"/>
      <c r="K91" s="51"/>
      <c r="L91" s="51"/>
    </row>
    <row r="92" spans="3:12" ht="24.75" customHeight="1">
      <c r="C92" s="48"/>
      <c r="D92" s="49"/>
      <c r="E92" s="49"/>
      <c r="F92" s="49"/>
      <c r="G92" s="49"/>
      <c r="H92" s="49"/>
      <c r="I92" s="50"/>
      <c r="J92" s="51"/>
      <c r="K92" s="51"/>
      <c r="L92" s="51"/>
    </row>
    <row r="93" spans="3:12" ht="24.75" customHeight="1">
      <c r="C93" s="48"/>
      <c r="D93" s="49"/>
      <c r="E93" s="49"/>
      <c r="F93" s="49"/>
      <c r="G93" s="49"/>
      <c r="H93" s="49"/>
      <c r="I93" s="50"/>
      <c r="J93" s="51"/>
      <c r="K93" s="51"/>
      <c r="L93" s="51"/>
    </row>
    <row r="94" spans="3:12" ht="24.75" customHeight="1">
      <c r="C94" s="48"/>
      <c r="D94" s="49"/>
      <c r="E94" s="49"/>
      <c r="F94" s="49"/>
      <c r="G94" s="49"/>
      <c r="H94" s="49"/>
      <c r="I94" s="50"/>
      <c r="J94" s="51"/>
      <c r="K94" s="51"/>
      <c r="L94" s="51"/>
    </row>
    <row r="95" spans="3:12" ht="24.75" customHeight="1">
      <c r="C95" s="48"/>
      <c r="D95" s="49"/>
      <c r="E95" s="49"/>
      <c r="F95" s="49"/>
      <c r="G95" s="49"/>
      <c r="H95" s="49"/>
      <c r="I95" s="50"/>
      <c r="J95" s="51"/>
      <c r="K95" s="51"/>
      <c r="L95" s="51"/>
    </row>
    <row r="96" spans="3:12" ht="24.75" customHeight="1">
      <c r="C96" s="48"/>
      <c r="D96" s="49"/>
      <c r="E96" s="49"/>
      <c r="F96" s="49"/>
      <c r="G96" s="49"/>
      <c r="H96" s="49"/>
      <c r="I96" s="50"/>
      <c r="J96" s="51"/>
      <c r="K96" s="51"/>
      <c r="L96" s="51"/>
    </row>
    <row r="97" spans="3:12" ht="24.75" customHeight="1">
      <c r="C97" s="48"/>
      <c r="D97" s="49"/>
      <c r="E97" s="49"/>
      <c r="F97" s="49"/>
      <c r="G97" s="49"/>
      <c r="H97" s="49"/>
      <c r="I97" s="50"/>
      <c r="J97" s="51"/>
      <c r="K97" s="51"/>
      <c r="L97" s="51"/>
    </row>
    <row r="98" spans="3:12" ht="24.75" customHeight="1">
      <c r="C98" s="48"/>
      <c r="D98" s="49"/>
      <c r="E98" s="49"/>
      <c r="F98" s="49"/>
      <c r="G98" s="49"/>
      <c r="H98" s="49"/>
      <c r="I98" s="50"/>
      <c r="J98" s="51"/>
      <c r="K98" s="51"/>
      <c r="L98" s="51"/>
    </row>
    <row r="99" spans="3:12" ht="24.75" customHeight="1">
      <c r="C99" s="48"/>
      <c r="D99" s="49"/>
      <c r="E99" s="49"/>
      <c r="F99" s="49"/>
      <c r="G99" s="49"/>
      <c r="H99" s="49"/>
      <c r="I99" s="50"/>
      <c r="J99" s="51"/>
      <c r="K99" s="51"/>
      <c r="L99" s="51"/>
    </row>
    <row r="100" spans="3:12" ht="24.75" customHeight="1">
      <c r="C100" s="48"/>
      <c r="D100" s="49"/>
      <c r="E100" s="49"/>
      <c r="F100" s="49"/>
      <c r="G100" s="49"/>
      <c r="H100" s="49"/>
      <c r="I100" s="50"/>
      <c r="J100" s="51"/>
      <c r="K100" s="51"/>
      <c r="L100" s="51"/>
    </row>
    <row r="101" spans="3:12" ht="24.75" customHeight="1">
      <c r="C101" s="48"/>
      <c r="D101" s="49"/>
      <c r="E101" s="49"/>
      <c r="F101" s="49"/>
      <c r="G101" s="49"/>
      <c r="H101" s="49"/>
      <c r="I101" s="50"/>
      <c r="J101" s="51"/>
      <c r="K101" s="51"/>
      <c r="L101" s="51"/>
    </row>
    <row r="102" spans="3:12" ht="24.75" customHeight="1">
      <c r="C102" s="48"/>
      <c r="D102" s="49"/>
      <c r="E102" s="49"/>
      <c r="F102" s="49"/>
      <c r="G102" s="49"/>
      <c r="H102" s="49"/>
      <c r="I102" s="50"/>
      <c r="J102" s="51"/>
      <c r="K102" s="51"/>
      <c r="L102" s="51"/>
    </row>
    <row r="103" spans="3:12" ht="24.75" customHeight="1">
      <c r="C103" s="48"/>
      <c r="D103" s="49"/>
      <c r="E103" s="49"/>
      <c r="F103" s="49"/>
      <c r="G103" s="49"/>
      <c r="H103" s="49"/>
      <c r="I103" s="50"/>
      <c r="J103" s="51"/>
      <c r="K103" s="51"/>
      <c r="L103" s="51"/>
    </row>
    <row r="104" spans="3:12" ht="24.75" customHeight="1">
      <c r="C104" s="48"/>
      <c r="D104" s="49"/>
      <c r="E104" s="49"/>
      <c r="F104" s="49"/>
      <c r="G104" s="49"/>
      <c r="H104" s="49"/>
      <c r="I104" s="50"/>
      <c r="J104" s="51"/>
      <c r="K104" s="51"/>
      <c r="L104" s="51"/>
    </row>
    <row r="105" spans="3:12" ht="24.75" customHeight="1">
      <c r="C105" s="48"/>
      <c r="D105" s="49"/>
      <c r="E105" s="49"/>
      <c r="F105" s="49"/>
      <c r="G105" s="49"/>
      <c r="H105" s="49"/>
      <c r="I105" s="50"/>
      <c r="J105" s="51"/>
      <c r="K105" s="51"/>
      <c r="L105" s="51"/>
    </row>
    <row r="106" spans="3:12" ht="24.75" customHeight="1">
      <c r="C106" s="48"/>
      <c r="D106" s="49"/>
      <c r="E106" s="49"/>
      <c r="F106" s="49"/>
      <c r="G106" s="49"/>
      <c r="H106" s="49"/>
      <c r="I106" s="50"/>
      <c r="J106" s="51"/>
      <c r="K106" s="51"/>
      <c r="L106" s="51"/>
    </row>
    <row r="107" spans="3:12" ht="24.75" customHeight="1">
      <c r="C107" s="48"/>
      <c r="D107" s="49"/>
      <c r="E107" s="49"/>
      <c r="F107" s="49"/>
      <c r="G107" s="49"/>
      <c r="H107" s="49"/>
      <c r="I107" s="50"/>
      <c r="J107" s="51"/>
      <c r="K107" s="51"/>
      <c r="L107" s="51"/>
    </row>
    <row r="108" spans="3:12" ht="24.75" customHeight="1">
      <c r="C108" s="48"/>
      <c r="D108" s="49"/>
      <c r="E108" s="49"/>
      <c r="F108" s="49"/>
      <c r="G108" s="49"/>
      <c r="H108" s="49"/>
      <c r="I108" s="50"/>
      <c r="J108" s="51"/>
      <c r="K108" s="51"/>
      <c r="L108" s="51"/>
    </row>
    <row r="109" spans="3:12" ht="24.75" customHeight="1">
      <c r="C109" s="48"/>
      <c r="D109" s="49"/>
      <c r="E109" s="49"/>
      <c r="F109" s="49"/>
      <c r="G109" s="49"/>
      <c r="H109" s="49"/>
      <c r="I109" s="50"/>
      <c r="J109" s="51"/>
      <c r="K109" s="51"/>
      <c r="L109" s="51"/>
    </row>
    <row r="110" spans="3:12" ht="24.75" customHeight="1">
      <c r="C110" s="48"/>
      <c r="D110" s="49"/>
      <c r="E110" s="49"/>
      <c r="F110" s="49"/>
      <c r="G110" s="49"/>
      <c r="H110" s="49"/>
      <c r="I110" s="50"/>
      <c r="J110" s="51"/>
      <c r="K110" s="51"/>
      <c r="L110" s="51"/>
    </row>
    <row r="111" spans="3:12" ht="24.75" customHeight="1">
      <c r="C111" s="48"/>
      <c r="D111" s="49"/>
      <c r="E111" s="49"/>
      <c r="F111" s="49"/>
      <c r="G111" s="49"/>
      <c r="H111" s="49"/>
      <c r="I111" s="50"/>
      <c r="J111" s="51"/>
      <c r="K111" s="51"/>
      <c r="L111" s="51"/>
    </row>
  </sheetData>
  <sheetProtection password="EFEB" sheet="1" objects="1" scenarios="1"/>
  <mergeCells count="6">
    <mergeCell ref="B1:S1"/>
    <mergeCell ref="J3:L3"/>
    <mergeCell ref="D30:K30"/>
    <mergeCell ref="D32:K32"/>
    <mergeCell ref="M2:O2"/>
    <mergeCell ref="Q2:S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B1:AL105"/>
  <sheetViews>
    <sheetView topLeftCell="I13" workbookViewId="0">
      <selection activeCell="T28" sqref="T28"/>
    </sheetView>
  </sheetViews>
  <sheetFormatPr defaultRowHeight="15"/>
  <cols>
    <col min="1" max="1" width="2.7109375" customWidth="1"/>
    <col min="2" max="2" width="7.42578125" customWidth="1"/>
    <col min="3" max="3" width="22.7109375" style="1" hidden="1" customWidth="1"/>
    <col min="4" max="4" width="38.85546875" customWidth="1"/>
    <col min="5" max="5" width="38.85546875" hidden="1" customWidth="1"/>
    <col min="6" max="6" width="20.7109375" customWidth="1"/>
    <col min="7" max="7" width="38.85546875" customWidth="1"/>
    <col min="8" max="8" width="38.85546875" hidden="1" customWidth="1"/>
    <col min="9" max="9" width="38.85546875" customWidth="1"/>
    <col min="10" max="10" width="25.5703125" style="2" customWidth="1"/>
    <col min="11" max="13" width="9.140625" style="3"/>
    <col min="14" max="16" width="14.140625" style="4" customWidth="1"/>
    <col min="17" max="17" width="13.5703125" customWidth="1"/>
    <col min="18" max="18" width="16.28515625" style="5" customWidth="1"/>
    <col min="19" max="19" width="14.85546875" style="6" customWidth="1"/>
    <col min="20" max="20" width="18" style="6" customWidth="1"/>
    <col min="253" max="253" width="7.42578125" customWidth="1"/>
    <col min="254" max="254" width="22.7109375" customWidth="1"/>
    <col min="255" max="255" width="14.140625" customWidth="1"/>
    <col min="256" max="256" width="13.140625" customWidth="1"/>
    <col min="257" max="257" width="8.140625" customWidth="1"/>
    <col min="258" max="258" width="10.85546875" customWidth="1"/>
    <col min="259" max="259" width="38.85546875" customWidth="1"/>
    <col min="260" max="260" width="25.5703125" customWidth="1"/>
    <col min="264" max="264" width="44.85546875" customWidth="1"/>
    <col min="265" max="266" width="14.140625" customWidth="1"/>
    <col min="267" max="267" width="13.85546875" customWidth="1"/>
    <col min="268" max="268" width="13.5703125" customWidth="1"/>
    <col min="269" max="269" width="11.7109375" customWidth="1"/>
    <col min="270" max="270" width="14" customWidth="1"/>
    <col min="271" max="271" width="16.28515625" customWidth="1"/>
    <col min="272" max="272" width="12.5703125" customWidth="1"/>
    <col min="273" max="273" width="13.28515625" customWidth="1"/>
    <col min="274" max="274" width="14.85546875" customWidth="1"/>
    <col min="275" max="275" width="18" customWidth="1"/>
    <col min="276" max="276" width="24" customWidth="1"/>
    <col min="509" max="509" width="7.42578125" customWidth="1"/>
    <col min="510" max="510" width="22.7109375" customWidth="1"/>
    <col min="511" max="511" width="14.140625" customWidth="1"/>
    <col min="512" max="512" width="13.140625" customWidth="1"/>
    <col min="513" max="513" width="8.140625" customWidth="1"/>
    <col min="514" max="514" width="10.85546875" customWidth="1"/>
    <col min="515" max="515" width="38.85546875" customWidth="1"/>
    <col min="516" max="516" width="25.5703125" customWidth="1"/>
    <col min="520" max="520" width="44.85546875" customWidth="1"/>
    <col min="521" max="522" width="14.140625" customWidth="1"/>
    <col min="523" max="523" width="13.85546875" customWidth="1"/>
    <col min="524" max="524" width="13.5703125" customWidth="1"/>
    <col min="525" max="525" width="11.7109375" customWidth="1"/>
    <col min="526" max="526" width="14" customWidth="1"/>
    <col min="527" max="527" width="16.28515625" customWidth="1"/>
    <col min="528" max="528" width="12.5703125" customWidth="1"/>
    <col min="529" max="529" width="13.28515625" customWidth="1"/>
    <col min="530" max="530" width="14.85546875" customWidth="1"/>
    <col min="531" max="531" width="18" customWidth="1"/>
    <col min="532" max="532" width="24" customWidth="1"/>
    <col min="765" max="765" width="7.42578125" customWidth="1"/>
    <col min="766" max="766" width="22.7109375" customWidth="1"/>
    <col min="767" max="767" width="14.140625" customWidth="1"/>
    <col min="768" max="768" width="13.140625" customWidth="1"/>
    <col min="769" max="769" width="8.140625" customWidth="1"/>
    <col min="770" max="770" width="10.85546875" customWidth="1"/>
    <col min="771" max="771" width="38.85546875" customWidth="1"/>
    <col min="772" max="772" width="25.5703125" customWidth="1"/>
    <col min="776" max="776" width="44.85546875" customWidth="1"/>
    <col min="777" max="778" width="14.140625" customWidth="1"/>
    <col min="779" max="779" width="13.85546875" customWidth="1"/>
    <col min="780" max="780" width="13.5703125" customWidth="1"/>
    <col min="781" max="781" width="11.7109375" customWidth="1"/>
    <col min="782" max="782" width="14" customWidth="1"/>
    <col min="783" max="783" width="16.28515625" customWidth="1"/>
    <col min="784" max="784" width="12.5703125" customWidth="1"/>
    <col min="785" max="785" width="13.28515625" customWidth="1"/>
    <col min="786" max="786" width="14.85546875" customWidth="1"/>
    <col min="787" max="787" width="18" customWidth="1"/>
    <col min="788" max="788" width="24" customWidth="1"/>
    <col min="1021" max="1021" width="7.42578125" customWidth="1"/>
    <col min="1022" max="1022" width="22.7109375" customWidth="1"/>
    <col min="1023" max="1023" width="14.140625" customWidth="1"/>
    <col min="1024" max="1024" width="13.140625" customWidth="1"/>
    <col min="1025" max="1025" width="8.140625" customWidth="1"/>
    <col min="1026" max="1026" width="10.85546875" customWidth="1"/>
    <col min="1027" max="1027" width="38.85546875" customWidth="1"/>
    <col min="1028" max="1028" width="25.5703125" customWidth="1"/>
    <col min="1032" max="1032" width="44.85546875" customWidth="1"/>
    <col min="1033" max="1034" width="14.140625" customWidth="1"/>
    <col min="1035" max="1035" width="13.85546875" customWidth="1"/>
    <col min="1036" max="1036" width="13.5703125" customWidth="1"/>
    <col min="1037" max="1037" width="11.7109375" customWidth="1"/>
    <col min="1038" max="1038" width="14" customWidth="1"/>
    <col min="1039" max="1039" width="16.28515625" customWidth="1"/>
    <col min="1040" max="1040" width="12.5703125" customWidth="1"/>
    <col min="1041" max="1041" width="13.28515625" customWidth="1"/>
    <col min="1042" max="1042" width="14.85546875" customWidth="1"/>
    <col min="1043" max="1043" width="18" customWidth="1"/>
    <col min="1044" max="1044" width="24" customWidth="1"/>
    <col min="1277" max="1277" width="7.42578125" customWidth="1"/>
    <col min="1278" max="1278" width="22.7109375" customWidth="1"/>
    <col min="1279" max="1279" width="14.140625" customWidth="1"/>
    <col min="1280" max="1280" width="13.140625" customWidth="1"/>
    <col min="1281" max="1281" width="8.140625" customWidth="1"/>
    <col min="1282" max="1282" width="10.85546875" customWidth="1"/>
    <col min="1283" max="1283" width="38.85546875" customWidth="1"/>
    <col min="1284" max="1284" width="25.5703125" customWidth="1"/>
    <col min="1288" max="1288" width="44.85546875" customWidth="1"/>
    <col min="1289" max="1290" width="14.140625" customWidth="1"/>
    <col min="1291" max="1291" width="13.85546875" customWidth="1"/>
    <col min="1292" max="1292" width="13.5703125" customWidth="1"/>
    <col min="1293" max="1293" width="11.7109375" customWidth="1"/>
    <col min="1294" max="1294" width="14" customWidth="1"/>
    <col min="1295" max="1295" width="16.28515625" customWidth="1"/>
    <col min="1296" max="1296" width="12.5703125" customWidth="1"/>
    <col min="1297" max="1297" width="13.28515625" customWidth="1"/>
    <col min="1298" max="1298" width="14.85546875" customWidth="1"/>
    <col min="1299" max="1299" width="18" customWidth="1"/>
    <col min="1300" max="1300" width="24" customWidth="1"/>
    <col min="1533" max="1533" width="7.42578125" customWidth="1"/>
    <col min="1534" max="1534" width="22.7109375" customWidth="1"/>
    <col min="1535" max="1535" width="14.140625" customWidth="1"/>
    <col min="1536" max="1536" width="13.140625" customWidth="1"/>
    <col min="1537" max="1537" width="8.140625" customWidth="1"/>
    <col min="1538" max="1538" width="10.85546875" customWidth="1"/>
    <col min="1539" max="1539" width="38.85546875" customWidth="1"/>
    <col min="1540" max="1540" width="25.5703125" customWidth="1"/>
    <col min="1544" max="1544" width="44.85546875" customWidth="1"/>
    <col min="1545" max="1546" width="14.140625" customWidth="1"/>
    <col min="1547" max="1547" width="13.85546875" customWidth="1"/>
    <col min="1548" max="1548" width="13.5703125" customWidth="1"/>
    <col min="1549" max="1549" width="11.7109375" customWidth="1"/>
    <col min="1550" max="1550" width="14" customWidth="1"/>
    <col min="1551" max="1551" width="16.28515625" customWidth="1"/>
    <col min="1552" max="1552" width="12.5703125" customWidth="1"/>
    <col min="1553" max="1553" width="13.28515625" customWidth="1"/>
    <col min="1554" max="1554" width="14.85546875" customWidth="1"/>
    <col min="1555" max="1555" width="18" customWidth="1"/>
    <col min="1556" max="1556" width="24" customWidth="1"/>
    <col min="1789" max="1789" width="7.42578125" customWidth="1"/>
    <col min="1790" max="1790" width="22.7109375" customWidth="1"/>
    <col min="1791" max="1791" width="14.140625" customWidth="1"/>
    <col min="1792" max="1792" width="13.140625" customWidth="1"/>
    <col min="1793" max="1793" width="8.140625" customWidth="1"/>
    <col min="1794" max="1794" width="10.85546875" customWidth="1"/>
    <col min="1795" max="1795" width="38.85546875" customWidth="1"/>
    <col min="1796" max="1796" width="25.5703125" customWidth="1"/>
    <col min="1800" max="1800" width="44.85546875" customWidth="1"/>
    <col min="1801" max="1802" width="14.140625" customWidth="1"/>
    <col min="1803" max="1803" width="13.85546875" customWidth="1"/>
    <col min="1804" max="1804" width="13.5703125" customWidth="1"/>
    <col min="1805" max="1805" width="11.7109375" customWidth="1"/>
    <col min="1806" max="1806" width="14" customWidth="1"/>
    <col min="1807" max="1807" width="16.28515625" customWidth="1"/>
    <col min="1808" max="1808" width="12.5703125" customWidth="1"/>
    <col min="1809" max="1809" width="13.28515625" customWidth="1"/>
    <col min="1810" max="1810" width="14.85546875" customWidth="1"/>
    <col min="1811" max="1811" width="18" customWidth="1"/>
    <col min="1812" max="1812" width="24" customWidth="1"/>
    <col min="2045" max="2045" width="7.42578125" customWidth="1"/>
    <col min="2046" max="2046" width="22.7109375" customWidth="1"/>
    <col min="2047" max="2047" width="14.140625" customWidth="1"/>
    <col min="2048" max="2048" width="13.140625" customWidth="1"/>
    <col min="2049" max="2049" width="8.140625" customWidth="1"/>
    <col min="2050" max="2050" width="10.85546875" customWidth="1"/>
    <col min="2051" max="2051" width="38.85546875" customWidth="1"/>
    <col min="2052" max="2052" width="25.5703125" customWidth="1"/>
    <col min="2056" max="2056" width="44.85546875" customWidth="1"/>
    <col min="2057" max="2058" width="14.140625" customWidth="1"/>
    <col min="2059" max="2059" width="13.85546875" customWidth="1"/>
    <col min="2060" max="2060" width="13.5703125" customWidth="1"/>
    <col min="2061" max="2061" width="11.7109375" customWidth="1"/>
    <col min="2062" max="2062" width="14" customWidth="1"/>
    <col min="2063" max="2063" width="16.28515625" customWidth="1"/>
    <col min="2064" max="2064" width="12.5703125" customWidth="1"/>
    <col min="2065" max="2065" width="13.28515625" customWidth="1"/>
    <col min="2066" max="2066" width="14.85546875" customWidth="1"/>
    <col min="2067" max="2067" width="18" customWidth="1"/>
    <col min="2068" max="2068" width="24" customWidth="1"/>
    <col min="2301" max="2301" width="7.42578125" customWidth="1"/>
    <col min="2302" max="2302" width="22.7109375" customWidth="1"/>
    <col min="2303" max="2303" width="14.140625" customWidth="1"/>
    <col min="2304" max="2304" width="13.140625" customWidth="1"/>
    <col min="2305" max="2305" width="8.140625" customWidth="1"/>
    <col min="2306" max="2306" width="10.85546875" customWidth="1"/>
    <col min="2307" max="2307" width="38.85546875" customWidth="1"/>
    <col min="2308" max="2308" width="25.5703125" customWidth="1"/>
    <col min="2312" max="2312" width="44.85546875" customWidth="1"/>
    <col min="2313" max="2314" width="14.140625" customWidth="1"/>
    <col min="2315" max="2315" width="13.85546875" customWidth="1"/>
    <col min="2316" max="2316" width="13.5703125" customWidth="1"/>
    <col min="2317" max="2317" width="11.7109375" customWidth="1"/>
    <col min="2318" max="2318" width="14" customWidth="1"/>
    <col min="2319" max="2319" width="16.28515625" customWidth="1"/>
    <col min="2320" max="2320" width="12.5703125" customWidth="1"/>
    <col min="2321" max="2321" width="13.28515625" customWidth="1"/>
    <col min="2322" max="2322" width="14.85546875" customWidth="1"/>
    <col min="2323" max="2323" width="18" customWidth="1"/>
    <col min="2324" max="2324" width="24" customWidth="1"/>
    <col min="2557" max="2557" width="7.42578125" customWidth="1"/>
    <col min="2558" max="2558" width="22.7109375" customWidth="1"/>
    <col min="2559" max="2559" width="14.140625" customWidth="1"/>
    <col min="2560" max="2560" width="13.140625" customWidth="1"/>
    <col min="2561" max="2561" width="8.140625" customWidth="1"/>
    <col min="2562" max="2562" width="10.85546875" customWidth="1"/>
    <col min="2563" max="2563" width="38.85546875" customWidth="1"/>
    <col min="2564" max="2564" width="25.5703125" customWidth="1"/>
    <col min="2568" max="2568" width="44.85546875" customWidth="1"/>
    <col min="2569" max="2570" width="14.140625" customWidth="1"/>
    <col min="2571" max="2571" width="13.85546875" customWidth="1"/>
    <col min="2572" max="2572" width="13.5703125" customWidth="1"/>
    <col min="2573" max="2573" width="11.7109375" customWidth="1"/>
    <col min="2574" max="2574" width="14" customWidth="1"/>
    <col min="2575" max="2575" width="16.28515625" customWidth="1"/>
    <col min="2576" max="2576" width="12.5703125" customWidth="1"/>
    <col min="2577" max="2577" width="13.28515625" customWidth="1"/>
    <col min="2578" max="2578" width="14.85546875" customWidth="1"/>
    <col min="2579" max="2579" width="18" customWidth="1"/>
    <col min="2580" max="2580" width="24" customWidth="1"/>
    <col min="2813" max="2813" width="7.42578125" customWidth="1"/>
    <col min="2814" max="2814" width="22.7109375" customWidth="1"/>
    <col min="2815" max="2815" width="14.140625" customWidth="1"/>
    <col min="2816" max="2816" width="13.140625" customWidth="1"/>
    <col min="2817" max="2817" width="8.140625" customWidth="1"/>
    <col min="2818" max="2818" width="10.85546875" customWidth="1"/>
    <col min="2819" max="2819" width="38.85546875" customWidth="1"/>
    <col min="2820" max="2820" width="25.5703125" customWidth="1"/>
    <col min="2824" max="2824" width="44.85546875" customWidth="1"/>
    <col min="2825" max="2826" width="14.140625" customWidth="1"/>
    <col min="2827" max="2827" width="13.85546875" customWidth="1"/>
    <col min="2828" max="2828" width="13.5703125" customWidth="1"/>
    <col min="2829" max="2829" width="11.7109375" customWidth="1"/>
    <col min="2830" max="2830" width="14" customWidth="1"/>
    <col min="2831" max="2831" width="16.28515625" customWidth="1"/>
    <col min="2832" max="2832" width="12.5703125" customWidth="1"/>
    <col min="2833" max="2833" width="13.28515625" customWidth="1"/>
    <col min="2834" max="2834" width="14.85546875" customWidth="1"/>
    <col min="2835" max="2835" width="18" customWidth="1"/>
    <col min="2836" max="2836" width="24" customWidth="1"/>
    <col min="3069" max="3069" width="7.42578125" customWidth="1"/>
    <col min="3070" max="3070" width="22.7109375" customWidth="1"/>
    <col min="3071" max="3071" width="14.140625" customWidth="1"/>
    <col min="3072" max="3072" width="13.140625" customWidth="1"/>
    <col min="3073" max="3073" width="8.140625" customWidth="1"/>
    <col min="3074" max="3074" width="10.85546875" customWidth="1"/>
    <col min="3075" max="3075" width="38.85546875" customWidth="1"/>
    <col min="3076" max="3076" width="25.5703125" customWidth="1"/>
    <col min="3080" max="3080" width="44.85546875" customWidth="1"/>
    <col min="3081" max="3082" width="14.140625" customWidth="1"/>
    <col min="3083" max="3083" width="13.85546875" customWidth="1"/>
    <col min="3084" max="3084" width="13.5703125" customWidth="1"/>
    <col min="3085" max="3085" width="11.7109375" customWidth="1"/>
    <col min="3086" max="3086" width="14" customWidth="1"/>
    <col min="3087" max="3087" width="16.28515625" customWidth="1"/>
    <col min="3088" max="3088" width="12.5703125" customWidth="1"/>
    <col min="3089" max="3089" width="13.28515625" customWidth="1"/>
    <col min="3090" max="3090" width="14.85546875" customWidth="1"/>
    <col min="3091" max="3091" width="18" customWidth="1"/>
    <col min="3092" max="3092" width="24" customWidth="1"/>
    <col min="3325" max="3325" width="7.42578125" customWidth="1"/>
    <col min="3326" max="3326" width="22.7109375" customWidth="1"/>
    <col min="3327" max="3327" width="14.140625" customWidth="1"/>
    <col min="3328" max="3328" width="13.140625" customWidth="1"/>
    <col min="3329" max="3329" width="8.140625" customWidth="1"/>
    <col min="3330" max="3330" width="10.85546875" customWidth="1"/>
    <col min="3331" max="3331" width="38.85546875" customWidth="1"/>
    <col min="3332" max="3332" width="25.5703125" customWidth="1"/>
    <col min="3336" max="3336" width="44.85546875" customWidth="1"/>
    <col min="3337" max="3338" width="14.140625" customWidth="1"/>
    <col min="3339" max="3339" width="13.85546875" customWidth="1"/>
    <col min="3340" max="3340" width="13.5703125" customWidth="1"/>
    <col min="3341" max="3341" width="11.7109375" customWidth="1"/>
    <col min="3342" max="3342" width="14" customWidth="1"/>
    <col min="3343" max="3343" width="16.28515625" customWidth="1"/>
    <col min="3344" max="3344" width="12.5703125" customWidth="1"/>
    <col min="3345" max="3345" width="13.28515625" customWidth="1"/>
    <col min="3346" max="3346" width="14.85546875" customWidth="1"/>
    <col min="3347" max="3347" width="18" customWidth="1"/>
    <col min="3348" max="3348" width="24" customWidth="1"/>
    <col min="3581" max="3581" width="7.42578125" customWidth="1"/>
    <col min="3582" max="3582" width="22.7109375" customWidth="1"/>
    <col min="3583" max="3583" width="14.140625" customWidth="1"/>
    <col min="3584" max="3584" width="13.140625" customWidth="1"/>
    <col min="3585" max="3585" width="8.140625" customWidth="1"/>
    <col min="3586" max="3586" width="10.85546875" customWidth="1"/>
    <col min="3587" max="3587" width="38.85546875" customWidth="1"/>
    <col min="3588" max="3588" width="25.5703125" customWidth="1"/>
    <col min="3592" max="3592" width="44.85546875" customWidth="1"/>
    <col min="3593" max="3594" width="14.140625" customWidth="1"/>
    <col min="3595" max="3595" width="13.85546875" customWidth="1"/>
    <col min="3596" max="3596" width="13.5703125" customWidth="1"/>
    <col min="3597" max="3597" width="11.7109375" customWidth="1"/>
    <col min="3598" max="3598" width="14" customWidth="1"/>
    <col min="3599" max="3599" width="16.28515625" customWidth="1"/>
    <col min="3600" max="3600" width="12.5703125" customWidth="1"/>
    <col min="3601" max="3601" width="13.28515625" customWidth="1"/>
    <col min="3602" max="3602" width="14.85546875" customWidth="1"/>
    <col min="3603" max="3603" width="18" customWidth="1"/>
    <col min="3604" max="3604" width="24" customWidth="1"/>
    <col min="3837" max="3837" width="7.42578125" customWidth="1"/>
    <col min="3838" max="3838" width="22.7109375" customWidth="1"/>
    <col min="3839" max="3839" width="14.140625" customWidth="1"/>
    <col min="3840" max="3840" width="13.140625" customWidth="1"/>
    <col min="3841" max="3841" width="8.140625" customWidth="1"/>
    <col min="3842" max="3842" width="10.85546875" customWidth="1"/>
    <col min="3843" max="3843" width="38.85546875" customWidth="1"/>
    <col min="3844" max="3844" width="25.5703125" customWidth="1"/>
    <col min="3848" max="3848" width="44.85546875" customWidth="1"/>
    <col min="3849" max="3850" width="14.140625" customWidth="1"/>
    <col min="3851" max="3851" width="13.85546875" customWidth="1"/>
    <col min="3852" max="3852" width="13.5703125" customWidth="1"/>
    <col min="3853" max="3853" width="11.7109375" customWidth="1"/>
    <col min="3854" max="3854" width="14" customWidth="1"/>
    <col min="3855" max="3855" width="16.28515625" customWidth="1"/>
    <col min="3856" max="3856" width="12.5703125" customWidth="1"/>
    <col min="3857" max="3857" width="13.28515625" customWidth="1"/>
    <col min="3858" max="3858" width="14.85546875" customWidth="1"/>
    <col min="3859" max="3859" width="18" customWidth="1"/>
    <col min="3860" max="3860" width="24" customWidth="1"/>
    <col min="4093" max="4093" width="7.42578125" customWidth="1"/>
    <col min="4094" max="4094" width="22.7109375" customWidth="1"/>
    <col min="4095" max="4095" width="14.140625" customWidth="1"/>
    <col min="4096" max="4096" width="13.140625" customWidth="1"/>
    <col min="4097" max="4097" width="8.140625" customWidth="1"/>
    <col min="4098" max="4098" width="10.85546875" customWidth="1"/>
    <col min="4099" max="4099" width="38.85546875" customWidth="1"/>
    <col min="4100" max="4100" width="25.5703125" customWidth="1"/>
    <col min="4104" max="4104" width="44.85546875" customWidth="1"/>
    <col min="4105" max="4106" width="14.140625" customWidth="1"/>
    <col min="4107" max="4107" width="13.85546875" customWidth="1"/>
    <col min="4108" max="4108" width="13.5703125" customWidth="1"/>
    <col min="4109" max="4109" width="11.7109375" customWidth="1"/>
    <col min="4110" max="4110" width="14" customWidth="1"/>
    <col min="4111" max="4111" width="16.28515625" customWidth="1"/>
    <col min="4112" max="4112" width="12.5703125" customWidth="1"/>
    <col min="4113" max="4113" width="13.28515625" customWidth="1"/>
    <col min="4114" max="4114" width="14.85546875" customWidth="1"/>
    <col min="4115" max="4115" width="18" customWidth="1"/>
    <col min="4116" max="4116" width="24" customWidth="1"/>
    <col min="4349" max="4349" width="7.42578125" customWidth="1"/>
    <col min="4350" max="4350" width="22.7109375" customWidth="1"/>
    <col min="4351" max="4351" width="14.140625" customWidth="1"/>
    <col min="4352" max="4352" width="13.140625" customWidth="1"/>
    <col min="4353" max="4353" width="8.140625" customWidth="1"/>
    <col min="4354" max="4354" width="10.85546875" customWidth="1"/>
    <col min="4355" max="4355" width="38.85546875" customWidth="1"/>
    <col min="4356" max="4356" width="25.5703125" customWidth="1"/>
    <col min="4360" max="4360" width="44.85546875" customWidth="1"/>
    <col min="4361" max="4362" width="14.140625" customWidth="1"/>
    <col min="4363" max="4363" width="13.85546875" customWidth="1"/>
    <col min="4364" max="4364" width="13.5703125" customWidth="1"/>
    <col min="4365" max="4365" width="11.7109375" customWidth="1"/>
    <col min="4366" max="4366" width="14" customWidth="1"/>
    <col min="4367" max="4367" width="16.28515625" customWidth="1"/>
    <col min="4368" max="4368" width="12.5703125" customWidth="1"/>
    <col min="4369" max="4369" width="13.28515625" customWidth="1"/>
    <col min="4370" max="4370" width="14.85546875" customWidth="1"/>
    <col min="4371" max="4371" width="18" customWidth="1"/>
    <col min="4372" max="4372" width="24" customWidth="1"/>
    <col min="4605" max="4605" width="7.42578125" customWidth="1"/>
    <col min="4606" max="4606" width="22.7109375" customWidth="1"/>
    <col min="4607" max="4607" width="14.140625" customWidth="1"/>
    <col min="4608" max="4608" width="13.140625" customWidth="1"/>
    <col min="4609" max="4609" width="8.140625" customWidth="1"/>
    <col min="4610" max="4610" width="10.85546875" customWidth="1"/>
    <col min="4611" max="4611" width="38.85546875" customWidth="1"/>
    <col min="4612" max="4612" width="25.5703125" customWidth="1"/>
    <col min="4616" max="4616" width="44.85546875" customWidth="1"/>
    <col min="4617" max="4618" width="14.140625" customWidth="1"/>
    <col min="4619" max="4619" width="13.85546875" customWidth="1"/>
    <col min="4620" max="4620" width="13.5703125" customWidth="1"/>
    <col min="4621" max="4621" width="11.7109375" customWidth="1"/>
    <col min="4622" max="4622" width="14" customWidth="1"/>
    <col min="4623" max="4623" width="16.28515625" customWidth="1"/>
    <col min="4624" max="4624" width="12.5703125" customWidth="1"/>
    <col min="4625" max="4625" width="13.28515625" customWidth="1"/>
    <col min="4626" max="4626" width="14.85546875" customWidth="1"/>
    <col min="4627" max="4627" width="18" customWidth="1"/>
    <col min="4628" max="4628" width="24" customWidth="1"/>
    <col min="4861" max="4861" width="7.42578125" customWidth="1"/>
    <col min="4862" max="4862" width="22.7109375" customWidth="1"/>
    <col min="4863" max="4863" width="14.140625" customWidth="1"/>
    <col min="4864" max="4864" width="13.140625" customWidth="1"/>
    <col min="4865" max="4865" width="8.140625" customWidth="1"/>
    <col min="4866" max="4866" width="10.85546875" customWidth="1"/>
    <col min="4867" max="4867" width="38.85546875" customWidth="1"/>
    <col min="4868" max="4868" width="25.5703125" customWidth="1"/>
    <col min="4872" max="4872" width="44.85546875" customWidth="1"/>
    <col min="4873" max="4874" width="14.140625" customWidth="1"/>
    <col min="4875" max="4875" width="13.85546875" customWidth="1"/>
    <col min="4876" max="4876" width="13.5703125" customWidth="1"/>
    <col min="4877" max="4877" width="11.7109375" customWidth="1"/>
    <col min="4878" max="4878" width="14" customWidth="1"/>
    <col min="4879" max="4879" width="16.28515625" customWidth="1"/>
    <col min="4880" max="4880" width="12.5703125" customWidth="1"/>
    <col min="4881" max="4881" width="13.28515625" customWidth="1"/>
    <col min="4882" max="4882" width="14.85546875" customWidth="1"/>
    <col min="4883" max="4883" width="18" customWidth="1"/>
    <col min="4884" max="4884" width="24" customWidth="1"/>
    <col min="5117" max="5117" width="7.42578125" customWidth="1"/>
    <col min="5118" max="5118" width="22.7109375" customWidth="1"/>
    <col min="5119" max="5119" width="14.140625" customWidth="1"/>
    <col min="5120" max="5120" width="13.140625" customWidth="1"/>
    <col min="5121" max="5121" width="8.140625" customWidth="1"/>
    <col min="5122" max="5122" width="10.85546875" customWidth="1"/>
    <col min="5123" max="5123" width="38.85546875" customWidth="1"/>
    <col min="5124" max="5124" width="25.5703125" customWidth="1"/>
    <col min="5128" max="5128" width="44.85546875" customWidth="1"/>
    <col min="5129" max="5130" width="14.140625" customWidth="1"/>
    <col min="5131" max="5131" width="13.85546875" customWidth="1"/>
    <col min="5132" max="5132" width="13.5703125" customWidth="1"/>
    <col min="5133" max="5133" width="11.7109375" customWidth="1"/>
    <col min="5134" max="5134" width="14" customWidth="1"/>
    <col min="5135" max="5135" width="16.28515625" customWidth="1"/>
    <col min="5136" max="5136" width="12.5703125" customWidth="1"/>
    <col min="5137" max="5137" width="13.28515625" customWidth="1"/>
    <col min="5138" max="5138" width="14.85546875" customWidth="1"/>
    <col min="5139" max="5139" width="18" customWidth="1"/>
    <col min="5140" max="5140" width="24" customWidth="1"/>
    <col min="5373" max="5373" width="7.42578125" customWidth="1"/>
    <col min="5374" max="5374" width="22.7109375" customWidth="1"/>
    <col min="5375" max="5375" width="14.140625" customWidth="1"/>
    <col min="5376" max="5376" width="13.140625" customWidth="1"/>
    <col min="5377" max="5377" width="8.140625" customWidth="1"/>
    <col min="5378" max="5378" width="10.85546875" customWidth="1"/>
    <col min="5379" max="5379" width="38.85546875" customWidth="1"/>
    <col min="5380" max="5380" width="25.5703125" customWidth="1"/>
    <col min="5384" max="5384" width="44.85546875" customWidth="1"/>
    <col min="5385" max="5386" width="14.140625" customWidth="1"/>
    <col min="5387" max="5387" width="13.85546875" customWidth="1"/>
    <col min="5388" max="5388" width="13.5703125" customWidth="1"/>
    <col min="5389" max="5389" width="11.7109375" customWidth="1"/>
    <col min="5390" max="5390" width="14" customWidth="1"/>
    <col min="5391" max="5391" width="16.28515625" customWidth="1"/>
    <col min="5392" max="5392" width="12.5703125" customWidth="1"/>
    <col min="5393" max="5393" width="13.28515625" customWidth="1"/>
    <col min="5394" max="5394" width="14.85546875" customWidth="1"/>
    <col min="5395" max="5395" width="18" customWidth="1"/>
    <col min="5396" max="5396" width="24" customWidth="1"/>
    <col min="5629" max="5629" width="7.42578125" customWidth="1"/>
    <col min="5630" max="5630" width="22.7109375" customWidth="1"/>
    <col min="5631" max="5631" width="14.140625" customWidth="1"/>
    <col min="5632" max="5632" width="13.140625" customWidth="1"/>
    <col min="5633" max="5633" width="8.140625" customWidth="1"/>
    <col min="5634" max="5634" width="10.85546875" customWidth="1"/>
    <col min="5635" max="5635" width="38.85546875" customWidth="1"/>
    <col min="5636" max="5636" width="25.5703125" customWidth="1"/>
    <col min="5640" max="5640" width="44.85546875" customWidth="1"/>
    <col min="5641" max="5642" width="14.140625" customWidth="1"/>
    <col min="5643" max="5643" width="13.85546875" customWidth="1"/>
    <col min="5644" max="5644" width="13.5703125" customWidth="1"/>
    <col min="5645" max="5645" width="11.7109375" customWidth="1"/>
    <col min="5646" max="5646" width="14" customWidth="1"/>
    <col min="5647" max="5647" width="16.28515625" customWidth="1"/>
    <col min="5648" max="5648" width="12.5703125" customWidth="1"/>
    <col min="5649" max="5649" width="13.28515625" customWidth="1"/>
    <col min="5650" max="5650" width="14.85546875" customWidth="1"/>
    <col min="5651" max="5651" width="18" customWidth="1"/>
    <col min="5652" max="5652" width="24" customWidth="1"/>
    <col min="5885" max="5885" width="7.42578125" customWidth="1"/>
    <col min="5886" max="5886" width="22.7109375" customWidth="1"/>
    <col min="5887" max="5887" width="14.140625" customWidth="1"/>
    <col min="5888" max="5888" width="13.140625" customWidth="1"/>
    <col min="5889" max="5889" width="8.140625" customWidth="1"/>
    <col min="5890" max="5890" width="10.85546875" customWidth="1"/>
    <col min="5891" max="5891" width="38.85546875" customWidth="1"/>
    <col min="5892" max="5892" width="25.5703125" customWidth="1"/>
    <col min="5896" max="5896" width="44.85546875" customWidth="1"/>
    <col min="5897" max="5898" width="14.140625" customWidth="1"/>
    <col min="5899" max="5899" width="13.85546875" customWidth="1"/>
    <col min="5900" max="5900" width="13.5703125" customWidth="1"/>
    <col min="5901" max="5901" width="11.7109375" customWidth="1"/>
    <col min="5902" max="5902" width="14" customWidth="1"/>
    <col min="5903" max="5903" width="16.28515625" customWidth="1"/>
    <col min="5904" max="5904" width="12.5703125" customWidth="1"/>
    <col min="5905" max="5905" width="13.28515625" customWidth="1"/>
    <col min="5906" max="5906" width="14.85546875" customWidth="1"/>
    <col min="5907" max="5907" width="18" customWidth="1"/>
    <col min="5908" max="5908" width="24" customWidth="1"/>
    <col min="6141" max="6141" width="7.42578125" customWidth="1"/>
    <col min="6142" max="6142" width="22.7109375" customWidth="1"/>
    <col min="6143" max="6143" width="14.140625" customWidth="1"/>
    <col min="6144" max="6144" width="13.140625" customWidth="1"/>
    <col min="6145" max="6145" width="8.140625" customWidth="1"/>
    <col min="6146" max="6146" width="10.85546875" customWidth="1"/>
    <col min="6147" max="6147" width="38.85546875" customWidth="1"/>
    <col min="6148" max="6148" width="25.5703125" customWidth="1"/>
    <col min="6152" max="6152" width="44.85546875" customWidth="1"/>
    <col min="6153" max="6154" width="14.140625" customWidth="1"/>
    <col min="6155" max="6155" width="13.85546875" customWidth="1"/>
    <col min="6156" max="6156" width="13.5703125" customWidth="1"/>
    <col min="6157" max="6157" width="11.7109375" customWidth="1"/>
    <col min="6158" max="6158" width="14" customWidth="1"/>
    <col min="6159" max="6159" width="16.28515625" customWidth="1"/>
    <col min="6160" max="6160" width="12.5703125" customWidth="1"/>
    <col min="6161" max="6161" width="13.28515625" customWidth="1"/>
    <col min="6162" max="6162" width="14.85546875" customWidth="1"/>
    <col min="6163" max="6163" width="18" customWidth="1"/>
    <col min="6164" max="6164" width="24" customWidth="1"/>
    <col min="6397" max="6397" width="7.42578125" customWidth="1"/>
    <col min="6398" max="6398" width="22.7109375" customWidth="1"/>
    <col min="6399" max="6399" width="14.140625" customWidth="1"/>
    <col min="6400" max="6400" width="13.140625" customWidth="1"/>
    <col min="6401" max="6401" width="8.140625" customWidth="1"/>
    <col min="6402" max="6402" width="10.85546875" customWidth="1"/>
    <col min="6403" max="6403" width="38.85546875" customWidth="1"/>
    <col min="6404" max="6404" width="25.5703125" customWidth="1"/>
    <col min="6408" max="6408" width="44.85546875" customWidth="1"/>
    <col min="6409" max="6410" width="14.140625" customWidth="1"/>
    <col min="6411" max="6411" width="13.85546875" customWidth="1"/>
    <col min="6412" max="6412" width="13.5703125" customWidth="1"/>
    <col min="6413" max="6413" width="11.7109375" customWidth="1"/>
    <col min="6414" max="6414" width="14" customWidth="1"/>
    <col min="6415" max="6415" width="16.28515625" customWidth="1"/>
    <col min="6416" max="6416" width="12.5703125" customWidth="1"/>
    <col min="6417" max="6417" width="13.28515625" customWidth="1"/>
    <col min="6418" max="6418" width="14.85546875" customWidth="1"/>
    <col min="6419" max="6419" width="18" customWidth="1"/>
    <col min="6420" max="6420" width="24" customWidth="1"/>
    <col min="6653" max="6653" width="7.42578125" customWidth="1"/>
    <col min="6654" max="6654" width="22.7109375" customWidth="1"/>
    <col min="6655" max="6655" width="14.140625" customWidth="1"/>
    <col min="6656" max="6656" width="13.140625" customWidth="1"/>
    <col min="6657" max="6657" width="8.140625" customWidth="1"/>
    <col min="6658" max="6658" width="10.85546875" customWidth="1"/>
    <col min="6659" max="6659" width="38.85546875" customWidth="1"/>
    <col min="6660" max="6660" width="25.5703125" customWidth="1"/>
    <col min="6664" max="6664" width="44.85546875" customWidth="1"/>
    <col min="6665" max="6666" width="14.140625" customWidth="1"/>
    <col min="6667" max="6667" width="13.85546875" customWidth="1"/>
    <col min="6668" max="6668" width="13.5703125" customWidth="1"/>
    <col min="6669" max="6669" width="11.7109375" customWidth="1"/>
    <col min="6670" max="6670" width="14" customWidth="1"/>
    <col min="6671" max="6671" width="16.28515625" customWidth="1"/>
    <col min="6672" max="6672" width="12.5703125" customWidth="1"/>
    <col min="6673" max="6673" width="13.28515625" customWidth="1"/>
    <col min="6674" max="6674" width="14.85546875" customWidth="1"/>
    <col min="6675" max="6675" width="18" customWidth="1"/>
    <col min="6676" max="6676" width="24" customWidth="1"/>
    <col min="6909" max="6909" width="7.42578125" customWidth="1"/>
    <col min="6910" max="6910" width="22.7109375" customWidth="1"/>
    <col min="6911" max="6911" width="14.140625" customWidth="1"/>
    <col min="6912" max="6912" width="13.140625" customWidth="1"/>
    <col min="6913" max="6913" width="8.140625" customWidth="1"/>
    <col min="6914" max="6914" width="10.85546875" customWidth="1"/>
    <col min="6915" max="6915" width="38.85546875" customWidth="1"/>
    <col min="6916" max="6916" width="25.5703125" customWidth="1"/>
    <col min="6920" max="6920" width="44.85546875" customWidth="1"/>
    <col min="6921" max="6922" width="14.140625" customWidth="1"/>
    <col min="6923" max="6923" width="13.85546875" customWidth="1"/>
    <col min="6924" max="6924" width="13.5703125" customWidth="1"/>
    <col min="6925" max="6925" width="11.7109375" customWidth="1"/>
    <col min="6926" max="6926" width="14" customWidth="1"/>
    <col min="6927" max="6927" width="16.28515625" customWidth="1"/>
    <col min="6928" max="6928" width="12.5703125" customWidth="1"/>
    <col min="6929" max="6929" width="13.28515625" customWidth="1"/>
    <col min="6930" max="6930" width="14.85546875" customWidth="1"/>
    <col min="6931" max="6931" width="18" customWidth="1"/>
    <col min="6932" max="6932" width="24" customWidth="1"/>
    <col min="7165" max="7165" width="7.42578125" customWidth="1"/>
    <col min="7166" max="7166" width="22.7109375" customWidth="1"/>
    <col min="7167" max="7167" width="14.140625" customWidth="1"/>
    <col min="7168" max="7168" width="13.140625" customWidth="1"/>
    <col min="7169" max="7169" width="8.140625" customWidth="1"/>
    <col min="7170" max="7170" width="10.85546875" customWidth="1"/>
    <col min="7171" max="7171" width="38.85546875" customWidth="1"/>
    <col min="7172" max="7172" width="25.5703125" customWidth="1"/>
    <col min="7176" max="7176" width="44.85546875" customWidth="1"/>
    <col min="7177" max="7178" width="14.140625" customWidth="1"/>
    <col min="7179" max="7179" width="13.85546875" customWidth="1"/>
    <col min="7180" max="7180" width="13.5703125" customWidth="1"/>
    <col min="7181" max="7181" width="11.7109375" customWidth="1"/>
    <col min="7182" max="7182" width="14" customWidth="1"/>
    <col min="7183" max="7183" width="16.28515625" customWidth="1"/>
    <col min="7184" max="7184" width="12.5703125" customWidth="1"/>
    <col min="7185" max="7185" width="13.28515625" customWidth="1"/>
    <col min="7186" max="7186" width="14.85546875" customWidth="1"/>
    <col min="7187" max="7187" width="18" customWidth="1"/>
    <col min="7188" max="7188" width="24" customWidth="1"/>
    <col min="7421" max="7421" width="7.42578125" customWidth="1"/>
    <col min="7422" max="7422" width="22.7109375" customWidth="1"/>
    <col min="7423" max="7423" width="14.140625" customWidth="1"/>
    <col min="7424" max="7424" width="13.140625" customWidth="1"/>
    <col min="7425" max="7425" width="8.140625" customWidth="1"/>
    <col min="7426" max="7426" width="10.85546875" customWidth="1"/>
    <col min="7427" max="7427" width="38.85546875" customWidth="1"/>
    <col min="7428" max="7428" width="25.5703125" customWidth="1"/>
    <col min="7432" max="7432" width="44.85546875" customWidth="1"/>
    <col min="7433" max="7434" width="14.140625" customWidth="1"/>
    <col min="7435" max="7435" width="13.85546875" customWidth="1"/>
    <col min="7436" max="7436" width="13.5703125" customWidth="1"/>
    <col min="7437" max="7437" width="11.7109375" customWidth="1"/>
    <col min="7438" max="7438" width="14" customWidth="1"/>
    <col min="7439" max="7439" width="16.28515625" customWidth="1"/>
    <col min="7440" max="7440" width="12.5703125" customWidth="1"/>
    <col min="7441" max="7441" width="13.28515625" customWidth="1"/>
    <col min="7442" max="7442" width="14.85546875" customWidth="1"/>
    <col min="7443" max="7443" width="18" customWidth="1"/>
    <col min="7444" max="7444" width="24" customWidth="1"/>
    <col min="7677" max="7677" width="7.42578125" customWidth="1"/>
    <col min="7678" max="7678" width="22.7109375" customWidth="1"/>
    <col min="7679" max="7679" width="14.140625" customWidth="1"/>
    <col min="7680" max="7680" width="13.140625" customWidth="1"/>
    <col min="7681" max="7681" width="8.140625" customWidth="1"/>
    <col min="7682" max="7682" width="10.85546875" customWidth="1"/>
    <col min="7683" max="7683" width="38.85546875" customWidth="1"/>
    <col min="7684" max="7684" width="25.5703125" customWidth="1"/>
    <col min="7688" max="7688" width="44.85546875" customWidth="1"/>
    <col min="7689" max="7690" width="14.140625" customWidth="1"/>
    <col min="7691" max="7691" width="13.85546875" customWidth="1"/>
    <col min="7692" max="7692" width="13.5703125" customWidth="1"/>
    <col min="7693" max="7693" width="11.7109375" customWidth="1"/>
    <col min="7694" max="7694" width="14" customWidth="1"/>
    <col min="7695" max="7695" width="16.28515625" customWidth="1"/>
    <col min="7696" max="7696" width="12.5703125" customWidth="1"/>
    <col min="7697" max="7697" width="13.28515625" customWidth="1"/>
    <col min="7698" max="7698" width="14.85546875" customWidth="1"/>
    <col min="7699" max="7699" width="18" customWidth="1"/>
    <col min="7700" max="7700" width="24" customWidth="1"/>
    <col min="7933" max="7933" width="7.42578125" customWidth="1"/>
    <col min="7934" max="7934" width="22.7109375" customWidth="1"/>
    <col min="7935" max="7935" width="14.140625" customWidth="1"/>
    <col min="7936" max="7936" width="13.140625" customWidth="1"/>
    <col min="7937" max="7937" width="8.140625" customWidth="1"/>
    <col min="7938" max="7938" width="10.85546875" customWidth="1"/>
    <col min="7939" max="7939" width="38.85546875" customWidth="1"/>
    <col min="7940" max="7940" width="25.5703125" customWidth="1"/>
    <col min="7944" max="7944" width="44.85546875" customWidth="1"/>
    <col min="7945" max="7946" width="14.140625" customWidth="1"/>
    <col min="7947" max="7947" width="13.85546875" customWidth="1"/>
    <col min="7948" max="7948" width="13.5703125" customWidth="1"/>
    <col min="7949" max="7949" width="11.7109375" customWidth="1"/>
    <col min="7950" max="7950" width="14" customWidth="1"/>
    <col min="7951" max="7951" width="16.28515625" customWidth="1"/>
    <col min="7952" max="7952" width="12.5703125" customWidth="1"/>
    <col min="7953" max="7953" width="13.28515625" customWidth="1"/>
    <col min="7954" max="7954" width="14.85546875" customWidth="1"/>
    <col min="7955" max="7955" width="18" customWidth="1"/>
    <col min="7956" max="7956" width="24" customWidth="1"/>
    <col min="8189" max="8189" width="7.42578125" customWidth="1"/>
    <col min="8190" max="8190" width="22.7109375" customWidth="1"/>
    <col min="8191" max="8191" width="14.140625" customWidth="1"/>
    <col min="8192" max="8192" width="13.140625" customWidth="1"/>
    <col min="8193" max="8193" width="8.140625" customWidth="1"/>
    <col min="8194" max="8194" width="10.85546875" customWidth="1"/>
    <col min="8195" max="8195" width="38.85546875" customWidth="1"/>
    <col min="8196" max="8196" width="25.5703125" customWidth="1"/>
    <col min="8200" max="8200" width="44.85546875" customWidth="1"/>
    <col min="8201" max="8202" width="14.140625" customWidth="1"/>
    <col min="8203" max="8203" width="13.85546875" customWidth="1"/>
    <col min="8204" max="8204" width="13.5703125" customWidth="1"/>
    <col min="8205" max="8205" width="11.7109375" customWidth="1"/>
    <col min="8206" max="8206" width="14" customWidth="1"/>
    <col min="8207" max="8207" width="16.28515625" customWidth="1"/>
    <col min="8208" max="8208" width="12.5703125" customWidth="1"/>
    <col min="8209" max="8209" width="13.28515625" customWidth="1"/>
    <col min="8210" max="8210" width="14.85546875" customWidth="1"/>
    <col min="8211" max="8211" width="18" customWidth="1"/>
    <col min="8212" max="8212" width="24" customWidth="1"/>
    <col min="8445" max="8445" width="7.42578125" customWidth="1"/>
    <col min="8446" max="8446" width="22.7109375" customWidth="1"/>
    <col min="8447" max="8447" width="14.140625" customWidth="1"/>
    <col min="8448" max="8448" width="13.140625" customWidth="1"/>
    <col min="8449" max="8449" width="8.140625" customWidth="1"/>
    <col min="8450" max="8450" width="10.85546875" customWidth="1"/>
    <col min="8451" max="8451" width="38.85546875" customWidth="1"/>
    <col min="8452" max="8452" width="25.5703125" customWidth="1"/>
    <col min="8456" max="8456" width="44.85546875" customWidth="1"/>
    <col min="8457" max="8458" width="14.140625" customWidth="1"/>
    <col min="8459" max="8459" width="13.85546875" customWidth="1"/>
    <col min="8460" max="8460" width="13.5703125" customWidth="1"/>
    <col min="8461" max="8461" width="11.7109375" customWidth="1"/>
    <col min="8462" max="8462" width="14" customWidth="1"/>
    <col min="8463" max="8463" width="16.28515625" customWidth="1"/>
    <col min="8464" max="8464" width="12.5703125" customWidth="1"/>
    <col min="8465" max="8465" width="13.28515625" customWidth="1"/>
    <col min="8466" max="8466" width="14.85546875" customWidth="1"/>
    <col min="8467" max="8467" width="18" customWidth="1"/>
    <col min="8468" max="8468" width="24" customWidth="1"/>
    <col min="8701" max="8701" width="7.42578125" customWidth="1"/>
    <col min="8702" max="8702" width="22.7109375" customWidth="1"/>
    <col min="8703" max="8703" width="14.140625" customWidth="1"/>
    <col min="8704" max="8704" width="13.140625" customWidth="1"/>
    <col min="8705" max="8705" width="8.140625" customWidth="1"/>
    <col min="8706" max="8706" width="10.85546875" customWidth="1"/>
    <col min="8707" max="8707" width="38.85546875" customWidth="1"/>
    <col min="8708" max="8708" width="25.5703125" customWidth="1"/>
    <col min="8712" max="8712" width="44.85546875" customWidth="1"/>
    <col min="8713" max="8714" width="14.140625" customWidth="1"/>
    <col min="8715" max="8715" width="13.85546875" customWidth="1"/>
    <col min="8716" max="8716" width="13.5703125" customWidth="1"/>
    <col min="8717" max="8717" width="11.7109375" customWidth="1"/>
    <col min="8718" max="8718" width="14" customWidth="1"/>
    <col min="8719" max="8719" width="16.28515625" customWidth="1"/>
    <col min="8720" max="8720" width="12.5703125" customWidth="1"/>
    <col min="8721" max="8721" width="13.28515625" customWidth="1"/>
    <col min="8722" max="8722" width="14.85546875" customWidth="1"/>
    <col min="8723" max="8723" width="18" customWidth="1"/>
    <col min="8724" max="8724" width="24" customWidth="1"/>
    <col min="8957" max="8957" width="7.42578125" customWidth="1"/>
    <col min="8958" max="8958" width="22.7109375" customWidth="1"/>
    <col min="8959" max="8959" width="14.140625" customWidth="1"/>
    <col min="8960" max="8960" width="13.140625" customWidth="1"/>
    <col min="8961" max="8961" width="8.140625" customWidth="1"/>
    <col min="8962" max="8962" width="10.85546875" customWidth="1"/>
    <col min="8963" max="8963" width="38.85546875" customWidth="1"/>
    <col min="8964" max="8964" width="25.5703125" customWidth="1"/>
    <col min="8968" max="8968" width="44.85546875" customWidth="1"/>
    <col min="8969" max="8970" width="14.140625" customWidth="1"/>
    <col min="8971" max="8971" width="13.85546875" customWidth="1"/>
    <col min="8972" max="8972" width="13.5703125" customWidth="1"/>
    <col min="8973" max="8973" width="11.7109375" customWidth="1"/>
    <col min="8974" max="8974" width="14" customWidth="1"/>
    <col min="8975" max="8975" width="16.28515625" customWidth="1"/>
    <col min="8976" max="8976" width="12.5703125" customWidth="1"/>
    <col min="8977" max="8977" width="13.28515625" customWidth="1"/>
    <col min="8978" max="8978" width="14.85546875" customWidth="1"/>
    <col min="8979" max="8979" width="18" customWidth="1"/>
    <col min="8980" max="8980" width="24" customWidth="1"/>
    <col min="9213" max="9213" width="7.42578125" customWidth="1"/>
    <col min="9214" max="9214" width="22.7109375" customWidth="1"/>
    <col min="9215" max="9215" width="14.140625" customWidth="1"/>
    <col min="9216" max="9216" width="13.140625" customWidth="1"/>
    <col min="9217" max="9217" width="8.140625" customWidth="1"/>
    <col min="9218" max="9218" width="10.85546875" customWidth="1"/>
    <col min="9219" max="9219" width="38.85546875" customWidth="1"/>
    <col min="9220" max="9220" width="25.5703125" customWidth="1"/>
    <col min="9224" max="9224" width="44.85546875" customWidth="1"/>
    <col min="9225" max="9226" width="14.140625" customWidth="1"/>
    <col min="9227" max="9227" width="13.85546875" customWidth="1"/>
    <col min="9228" max="9228" width="13.5703125" customWidth="1"/>
    <col min="9229" max="9229" width="11.7109375" customWidth="1"/>
    <col min="9230" max="9230" width="14" customWidth="1"/>
    <col min="9231" max="9231" width="16.28515625" customWidth="1"/>
    <col min="9232" max="9232" width="12.5703125" customWidth="1"/>
    <col min="9233" max="9233" width="13.28515625" customWidth="1"/>
    <col min="9234" max="9234" width="14.85546875" customWidth="1"/>
    <col min="9235" max="9235" width="18" customWidth="1"/>
    <col min="9236" max="9236" width="24" customWidth="1"/>
    <col min="9469" max="9469" width="7.42578125" customWidth="1"/>
    <col min="9470" max="9470" width="22.7109375" customWidth="1"/>
    <col min="9471" max="9471" width="14.140625" customWidth="1"/>
    <col min="9472" max="9472" width="13.140625" customWidth="1"/>
    <col min="9473" max="9473" width="8.140625" customWidth="1"/>
    <col min="9474" max="9474" width="10.85546875" customWidth="1"/>
    <col min="9475" max="9475" width="38.85546875" customWidth="1"/>
    <col min="9476" max="9476" width="25.5703125" customWidth="1"/>
    <col min="9480" max="9480" width="44.85546875" customWidth="1"/>
    <col min="9481" max="9482" width="14.140625" customWidth="1"/>
    <col min="9483" max="9483" width="13.85546875" customWidth="1"/>
    <col min="9484" max="9484" width="13.5703125" customWidth="1"/>
    <col min="9485" max="9485" width="11.7109375" customWidth="1"/>
    <col min="9486" max="9486" width="14" customWidth="1"/>
    <col min="9487" max="9487" width="16.28515625" customWidth="1"/>
    <col min="9488" max="9488" width="12.5703125" customWidth="1"/>
    <col min="9489" max="9489" width="13.28515625" customWidth="1"/>
    <col min="9490" max="9490" width="14.85546875" customWidth="1"/>
    <col min="9491" max="9491" width="18" customWidth="1"/>
    <col min="9492" max="9492" width="24" customWidth="1"/>
    <col min="9725" max="9725" width="7.42578125" customWidth="1"/>
    <col min="9726" max="9726" width="22.7109375" customWidth="1"/>
    <col min="9727" max="9727" width="14.140625" customWidth="1"/>
    <col min="9728" max="9728" width="13.140625" customWidth="1"/>
    <col min="9729" max="9729" width="8.140625" customWidth="1"/>
    <col min="9730" max="9730" width="10.85546875" customWidth="1"/>
    <col min="9731" max="9731" width="38.85546875" customWidth="1"/>
    <col min="9732" max="9732" width="25.5703125" customWidth="1"/>
    <col min="9736" max="9736" width="44.85546875" customWidth="1"/>
    <col min="9737" max="9738" width="14.140625" customWidth="1"/>
    <col min="9739" max="9739" width="13.85546875" customWidth="1"/>
    <col min="9740" max="9740" width="13.5703125" customWidth="1"/>
    <col min="9741" max="9741" width="11.7109375" customWidth="1"/>
    <col min="9742" max="9742" width="14" customWidth="1"/>
    <col min="9743" max="9743" width="16.28515625" customWidth="1"/>
    <col min="9744" max="9744" width="12.5703125" customWidth="1"/>
    <col min="9745" max="9745" width="13.28515625" customWidth="1"/>
    <col min="9746" max="9746" width="14.85546875" customWidth="1"/>
    <col min="9747" max="9747" width="18" customWidth="1"/>
    <col min="9748" max="9748" width="24" customWidth="1"/>
    <col min="9981" max="9981" width="7.42578125" customWidth="1"/>
    <col min="9982" max="9982" width="22.7109375" customWidth="1"/>
    <col min="9983" max="9983" width="14.140625" customWidth="1"/>
    <col min="9984" max="9984" width="13.140625" customWidth="1"/>
    <col min="9985" max="9985" width="8.140625" customWidth="1"/>
    <col min="9986" max="9986" width="10.85546875" customWidth="1"/>
    <col min="9987" max="9987" width="38.85546875" customWidth="1"/>
    <col min="9988" max="9988" width="25.5703125" customWidth="1"/>
    <col min="9992" max="9992" width="44.85546875" customWidth="1"/>
    <col min="9993" max="9994" width="14.140625" customWidth="1"/>
    <col min="9995" max="9995" width="13.85546875" customWidth="1"/>
    <col min="9996" max="9996" width="13.5703125" customWidth="1"/>
    <col min="9997" max="9997" width="11.7109375" customWidth="1"/>
    <col min="9998" max="9998" width="14" customWidth="1"/>
    <col min="9999" max="9999" width="16.28515625" customWidth="1"/>
    <col min="10000" max="10000" width="12.5703125" customWidth="1"/>
    <col min="10001" max="10001" width="13.28515625" customWidth="1"/>
    <col min="10002" max="10002" width="14.85546875" customWidth="1"/>
    <col min="10003" max="10003" width="18" customWidth="1"/>
    <col min="10004" max="10004" width="24" customWidth="1"/>
    <col min="10237" max="10237" width="7.42578125" customWidth="1"/>
    <col min="10238" max="10238" width="22.7109375" customWidth="1"/>
    <col min="10239" max="10239" width="14.140625" customWidth="1"/>
    <col min="10240" max="10240" width="13.140625" customWidth="1"/>
    <col min="10241" max="10241" width="8.140625" customWidth="1"/>
    <col min="10242" max="10242" width="10.85546875" customWidth="1"/>
    <col min="10243" max="10243" width="38.85546875" customWidth="1"/>
    <col min="10244" max="10244" width="25.5703125" customWidth="1"/>
    <col min="10248" max="10248" width="44.85546875" customWidth="1"/>
    <col min="10249" max="10250" width="14.140625" customWidth="1"/>
    <col min="10251" max="10251" width="13.85546875" customWidth="1"/>
    <col min="10252" max="10252" width="13.5703125" customWidth="1"/>
    <col min="10253" max="10253" width="11.7109375" customWidth="1"/>
    <col min="10254" max="10254" width="14" customWidth="1"/>
    <col min="10255" max="10255" width="16.28515625" customWidth="1"/>
    <col min="10256" max="10256" width="12.5703125" customWidth="1"/>
    <col min="10257" max="10257" width="13.28515625" customWidth="1"/>
    <col min="10258" max="10258" width="14.85546875" customWidth="1"/>
    <col min="10259" max="10259" width="18" customWidth="1"/>
    <col min="10260" max="10260" width="24" customWidth="1"/>
    <col min="10493" max="10493" width="7.42578125" customWidth="1"/>
    <col min="10494" max="10494" width="22.7109375" customWidth="1"/>
    <col min="10495" max="10495" width="14.140625" customWidth="1"/>
    <col min="10496" max="10496" width="13.140625" customWidth="1"/>
    <col min="10497" max="10497" width="8.140625" customWidth="1"/>
    <col min="10498" max="10498" width="10.85546875" customWidth="1"/>
    <col min="10499" max="10499" width="38.85546875" customWidth="1"/>
    <col min="10500" max="10500" width="25.5703125" customWidth="1"/>
    <col min="10504" max="10504" width="44.85546875" customWidth="1"/>
    <col min="10505" max="10506" width="14.140625" customWidth="1"/>
    <col min="10507" max="10507" width="13.85546875" customWidth="1"/>
    <col min="10508" max="10508" width="13.5703125" customWidth="1"/>
    <col min="10509" max="10509" width="11.7109375" customWidth="1"/>
    <col min="10510" max="10510" width="14" customWidth="1"/>
    <col min="10511" max="10511" width="16.28515625" customWidth="1"/>
    <col min="10512" max="10512" width="12.5703125" customWidth="1"/>
    <col min="10513" max="10513" width="13.28515625" customWidth="1"/>
    <col min="10514" max="10514" width="14.85546875" customWidth="1"/>
    <col min="10515" max="10515" width="18" customWidth="1"/>
    <col min="10516" max="10516" width="24" customWidth="1"/>
    <col min="10749" max="10749" width="7.42578125" customWidth="1"/>
    <col min="10750" max="10750" width="22.7109375" customWidth="1"/>
    <col min="10751" max="10751" width="14.140625" customWidth="1"/>
    <col min="10752" max="10752" width="13.140625" customWidth="1"/>
    <col min="10753" max="10753" width="8.140625" customWidth="1"/>
    <col min="10754" max="10754" width="10.85546875" customWidth="1"/>
    <col min="10755" max="10755" width="38.85546875" customWidth="1"/>
    <col min="10756" max="10756" width="25.5703125" customWidth="1"/>
    <col min="10760" max="10760" width="44.85546875" customWidth="1"/>
    <col min="10761" max="10762" width="14.140625" customWidth="1"/>
    <col min="10763" max="10763" width="13.85546875" customWidth="1"/>
    <col min="10764" max="10764" width="13.5703125" customWidth="1"/>
    <col min="10765" max="10765" width="11.7109375" customWidth="1"/>
    <col min="10766" max="10766" width="14" customWidth="1"/>
    <col min="10767" max="10767" width="16.28515625" customWidth="1"/>
    <col min="10768" max="10768" width="12.5703125" customWidth="1"/>
    <col min="10769" max="10769" width="13.28515625" customWidth="1"/>
    <col min="10770" max="10770" width="14.85546875" customWidth="1"/>
    <col min="10771" max="10771" width="18" customWidth="1"/>
    <col min="10772" max="10772" width="24" customWidth="1"/>
    <col min="11005" max="11005" width="7.42578125" customWidth="1"/>
    <col min="11006" max="11006" width="22.7109375" customWidth="1"/>
    <col min="11007" max="11007" width="14.140625" customWidth="1"/>
    <col min="11008" max="11008" width="13.140625" customWidth="1"/>
    <col min="11009" max="11009" width="8.140625" customWidth="1"/>
    <col min="11010" max="11010" width="10.85546875" customWidth="1"/>
    <col min="11011" max="11011" width="38.85546875" customWidth="1"/>
    <col min="11012" max="11012" width="25.5703125" customWidth="1"/>
    <col min="11016" max="11016" width="44.85546875" customWidth="1"/>
    <col min="11017" max="11018" width="14.140625" customWidth="1"/>
    <col min="11019" max="11019" width="13.85546875" customWidth="1"/>
    <col min="11020" max="11020" width="13.5703125" customWidth="1"/>
    <col min="11021" max="11021" width="11.7109375" customWidth="1"/>
    <col min="11022" max="11022" width="14" customWidth="1"/>
    <col min="11023" max="11023" width="16.28515625" customWidth="1"/>
    <col min="11024" max="11024" width="12.5703125" customWidth="1"/>
    <col min="11025" max="11025" width="13.28515625" customWidth="1"/>
    <col min="11026" max="11026" width="14.85546875" customWidth="1"/>
    <col min="11027" max="11027" width="18" customWidth="1"/>
    <col min="11028" max="11028" width="24" customWidth="1"/>
    <col min="11261" max="11261" width="7.42578125" customWidth="1"/>
    <col min="11262" max="11262" width="22.7109375" customWidth="1"/>
    <col min="11263" max="11263" width="14.140625" customWidth="1"/>
    <col min="11264" max="11264" width="13.140625" customWidth="1"/>
    <col min="11265" max="11265" width="8.140625" customWidth="1"/>
    <col min="11266" max="11266" width="10.85546875" customWidth="1"/>
    <col min="11267" max="11267" width="38.85546875" customWidth="1"/>
    <col min="11268" max="11268" width="25.5703125" customWidth="1"/>
    <col min="11272" max="11272" width="44.85546875" customWidth="1"/>
    <col min="11273" max="11274" width="14.140625" customWidth="1"/>
    <col min="11275" max="11275" width="13.85546875" customWidth="1"/>
    <col min="11276" max="11276" width="13.5703125" customWidth="1"/>
    <col min="11277" max="11277" width="11.7109375" customWidth="1"/>
    <col min="11278" max="11278" width="14" customWidth="1"/>
    <col min="11279" max="11279" width="16.28515625" customWidth="1"/>
    <col min="11280" max="11280" width="12.5703125" customWidth="1"/>
    <col min="11281" max="11281" width="13.28515625" customWidth="1"/>
    <col min="11282" max="11282" width="14.85546875" customWidth="1"/>
    <col min="11283" max="11283" width="18" customWidth="1"/>
    <col min="11284" max="11284" width="24" customWidth="1"/>
    <col min="11517" max="11517" width="7.42578125" customWidth="1"/>
    <col min="11518" max="11518" width="22.7109375" customWidth="1"/>
    <col min="11519" max="11519" width="14.140625" customWidth="1"/>
    <col min="11520" max="11520" width="13.140625" customWidth="1"/>
    <col min="11521" max="11521" width="8.140625" customWidth="1"/>
    <col min="11522" max="11522" width="10.85546875" customWidth="1"/>
    <col min="11523" max="11523" width="38.85546875" customWidth="1"/>
    <col min="11524" max="11524" width="25.5703125" customWidth="1"/>
    <col min="11528" max="11528" width="44.85546875" customWidth="1"/>
    <col min="11529" max="11530" width="14.140625" customWidth="1"/>
    <col min="11531" max="11531" width="13.85546875" customWidth="1"/>
    <col min="11532" max="11532" width="13.5703125" customWidth="1"/>
    <col min="11533" max="11533" width="11.7109375" customWidth="1"/>
    <col min="11534" max="11534" width="14" customWidth="1"/>
    <col min="11535" max="11535" width="16.28515625" customWidth="1"/>
    <col min="11536" max="11536" width="12.5703125" customWidth="1"/>
    <col min="11537" max="11537" width="13.28515625" customWidth="1"/>
    <col min="11538" max="11538" width="14.85546875" customWidth="1"/>
    <col min="11539" max="11539" width="18" customWidth="1"/>
    <col min="11540" max="11540" width="24" customWidth="1"/>
    <col min="11773" max="11773" width="7.42578125" customWidth="1"/>
    <col min="11774" max="11774" width="22.7109375" customWidth="1"/>
    <col min="11775" max="11775" width="14.140625" customWidth="1"/>
    <col min="11776" max="11776" width="13.140625" customWidth="1"/>
    <col min="11777" max="11777" width="8.140625" customWidth="1"/>
    <col min="11778" max="11778" width="10.85546875" customWidth="1"/>
    <col min="11779" max="11779" width="38.85546875" customWidth="1"/>
    <col min="11780" max="11780" width="25.5703125" customWidth="1"/>
    <col min="11784" max="11784" width="44.85546875" customWidth="1"/>
    <col min="11785" max="11786" width="14.140625" customWidth="1"/>
    <col min="11787" max="11787" width="13.85546875" customWidth="1"/>
    <col min="11788" max="11788" width="13.5703125" customWidth="1"/>
    <col min="11789" max="11789" width="11.7109375" customWidth="1"/>
    <col min="11790" max="11790" width="14" customWidth="1"/>
    <col min="11791" max="11791" width="16.28515625" customWidth="1"/>
    <col min="11792" max="11792" width="12.5703125" customWidth="1"/>
    <col min="11793" max="11793" width="13.28515625" customWidth="1"/>
    <col min="11794" max="11794" width="14.85546875" customWidth="1"/>
    <col min="11795" max="11795" width="18" customWidth="1"/>
    <col min="11796" max="11796" width="24" customWidth="1"/>
    <col min="12029" max="12029" width="7.42578125" customWidth="1"/>
    <col min="12030" max="12030" width="22.7109375" customWidth="1"/>
    <col min="12031" max="12031" width="14.140625" customWidth="1"/>
    <col min="12032" max="12032" width="13.140625" customWidth="1"/>
    <col min="12033" max="12033" width="8.140625" customWidth="1"/>
    <col min="12034" max="12034" width="10.85546875" customWidth="1"/>
    <col min="12035" max="12035" width="38.85546875" customWidth="1"/>
    <col min="12036" max="12036" width="25.5703125" customWidth="1"/>
    <col min="12040" max="12040" width="44.85546875" customWidth="1"/>
    <col min="12041" max="12042" width="14.140625" customWidth="1"/>
    <col min="12043" max="12043" width="13.85546875" customWidth="1"/>
    <col min="12044" max="12044" width="13.5703125" customWidth="1"/>
    <col min="12045" max="12045" width="11.7109375" customWidth="1"/>
    <col min="12046" max="12046" width="14" customWidth="1"/>
    <col min="12047" max="12047" width="16.28515625" customWidth="1"/>
    <col min="12048" max="12048" width="12.5703125" customWidth="1"/>
    <col min="12049" max="12049" width="13.28515625" customWidth="1"/>
    <col min="12050" max="12050" width="14.85546875" customWidth="1"/>
    <col min="12051" max="12051" width="18" customWidth="1"/>
    <col min="12052" max="12052" width="24" customWidth="1"/>
    <col min="12285" max="12285" width="7.42578125" customWidth="1"/>
    <col min="12286" max="12286" width="22.7109375" customWidth="1"/>
    <col min="12287" max="12287" width="14.140625" customWidth="1"/>
    <col min="12288" max="12288" width="13.140625" customWidth="1"/>
    <col min="12289" max="12289" width="8.140625" customWidth="1"/>
    <col min="12290" max="12290" width="10.85546875" customWidth="1"/>
    <col min="12291" max="12291" width="38.85546875" customWidth="1"/>
    <col min="12292" max="12292" width="25.5703125" customWidth="1"/>
    <col min="12296" max="12296" width="44.85546875" customWidth="1"/>
    <col min="12297" max="12298" width="14.140625" customWidth="1"/>
    <col min="12299" max="12299" width="13.85546875" customWidth="1"/>
    <col min="12300" max="12300" width="13.5703125" customWidth="1"/>
    <col min="12301" max="12301" width="11.7109375" customWidth="1"/>
    <col min="12302" max="12302" width="14" customWidth="1"/>
    <col min="12303" max="12303" width="16.28515625" customWidth="1"/>
    <col min="12304" max="12304" width="12.5703125" customWidth="1"/>
    <col min="12305" max="12305" width="13.28515625" customWidth="1"/>
    <col min="12306" max="12306" width="14.85546875" customWidth="1"/>
    <col min="12307" max="12307" width="18" customWidth="1"/>
    <col min="12308" max="12308" width="24" customWidth="1"/>
    <col min="12541" max="12541" width="7.42578125" customWidth="1"/>
    <col min="12542" max="12542" width="22.7109375" customWidth="1"/>
    <col min="12543" max="12543" width="14.140625" customWidth="1"/>
    <col min="12544" max="12544" width="13.140625" customWidth="1"/>
    <col min="12545" max="12545" width="8.140625" customWidth="1"/>
    <col min="12546" max="12546" width="10.85546875" customWidth="1"/>
    <col min="12547" max="12547" width="38.85546875" customWidth="1"/>
    <col min="12548" max="12548" width="25.5703125" customWidth="1"/>
    <col min="12552" max="12552" width="44.85546875" customWidth="1"/>
    <col min="12553" max="12554" width="14.140625" customWidth="1"/>
    <col min="12555" max="12555" width="13.85546875" customWidth="1"/>
    <col min="12556" max="12556" width="13.5703125" customWidth="1"/>
    <col min="12557" max="12557" width="11.7109375" customWidth="1"/>
    <col min="12558" max="12558" width="14" customWidth="1"/>
    <col min="12559" max="12559" width="16.28515625" customWidth="1"/>
    <col min="12560" max="12560" width="12.5703125" customWidth="1"/>
    <col min="12561" max="12561" width="13.28515625" customWidth="1"/>
    <col min="12562" max="12562" width="14.85546875" customWidth="1"/>
    <col min="12563" max="12563" width="18" customWidth="1"/>
    <col min="12564" max="12564" width="24" customWidth="1"/>
    <col min="12797" max="12797" width="7.42578125" customWidth="1"/>
    <col min="12798" max="12798" width="22.7109375" customWidth="1"/>
    <col min="12799" max="12799" width="14.140625" customWidth="1"/>
    <col min="12800" max="12800" width="13.140625" customWidth="1"/>
    <col min="12801" max="12801" width="8.140625" customWidth="1"/>
    <col min="12802" max="12802" width="10.85546875" customWidth="1"/>
    <col min="12803" max="12803" width="38.85546875" customWidth="1"/>
    <col min="12804" max="12804" width="25.5703125" customWidth="1"/>
    <col min="12808" max="12808" width="44.85546875" customWidth="1"/>
    <col min="12809" max="12810" width="14.140625" customWidth="1"/>
    <col min="12811" max="12811" width="13.85546875" customWidth="1"/>
    <col min="12812" max="12812" width="13.5703125" customWidth="1"/>
    <col min="12813" max="12813" width="11.7109375" customWidth="1"/>
    <col min="12814" max="12814" width="14" customWidth="1"/>
    <col min="12815" max="12815" width="16.28515625" customWidth="1"/>
    <col min="12816" max="12816" width="12.5703125" customWidth="1"/>
    <col min="12817" max="12817" width="13.28515625" customWidth="1"/>
    <col min="12818" max="12818" width="14.85546875" customWidth="1"/>
    <col min="12819" max="12819" width="18" customWidth="1"/>
    <col min="12820" max="12820" width="24" customWidth="1"/>
    <col min="13053" max="13053" width="7.42578125" customWidth="1"/>
    <col min="13054" max="13054" width="22.7109375" customWidth="1"/>
    <col min="13055" max="13055" width="14.140625" customWidth="1"/>
    <col min="13056" max="13056" width="13.140625" customWidth="1"/>
    <col min="13057" max="13057" width="8.140625" customWidth="1"/>
    <col min="13058" max="13058" width="10.85546875" customWidth="1"/>
    <col min="13059" max="13059" width="38.85546875" customWidth="1"/>
    <col min="13060" max="13060" width="25.5703125" customWidth="1"/>
    <col min="13064" max="13064" width="44.85546875" customWidth="1"/>
    <col min="13065" max="13066" width="14.140625" customWidth="1"/>
    <col min="13067" max="13067" width="13.85546875" customWidth="1"/>
    <col min="13068" max="13068" width="13.5703125" customWidth="1"/>
    <col min="13069" max="13069" width="11.7109375" customWidth="1"/>
    <col min="13070" max="13070" width="14" customWidth="1"/>
    <col min="13071" max="13071" width="16.28515625" customWidth="1"/>
    <col min="13072" max="13072" width="12.5703125" customWidth="1"/>
    <col min="13073" max="13073" width="13.28515625" customWidth="1"/>
    <col min="13074" max="13074" width="14.85546875" customWidth="1"/>
    <col min="13075" max="13075" width="18" customWidth="1"/>
    <col min="13076" max="13076" width="24" customWidth="1"/>
    <col min="13309" max="13309" width="7.42578125" customWidth="1"/>
    <col min="13310" max="13310" width="22.7109375" customWidth="1"/>
    <col min="13311" max="13311" width="14.140625" customWidth="1"/>
    <col min="13312" max="13312" width="13.140625" customWidth="1"/>
    <col min="13313" max="13313" width="8.140625" customWidth="1"/>
    <col min="13314" max="13314" width="10.85546875" customWidth="1"/>
    <col min="13315" max="13315" width="38.85546875" customWidth="1"/>
    <col min="13316" max="13316" width="25.5703125" customWidth="1"/>
    <col min="13320" max="13320" width="44.85546875" customWidth="1"/>
    <col min="13321" max="13322" width="14.140625" customWidth="1"/>
    <col min="13323" max="13323" width="13.85546875" customWidth="1"/>
    <col min="13324" max="13324" width="13.5703125" customWidth="1"/>
    <col min="13325" max="13325" width="11.7109375" customWidth="1"/>
    <col min="13326" max="13326" width="14" customWidth="1"/>
    <col min="13327" max="13327" width="16.28515625" customWidth="1"/>
    <col min="13328" max="13328" width="12.5703125" customWidth="1"/>
    <col min="13329" max="13329" width="13.28515625" customWidth="1"/>
    <col min="13330" max="13330" width="14.85546875" customWidth="1"/>
    <col min="13331" max="13331" width="18" customWidth="1"/>
    <col min="13332" max="13332" width="24" customWidth="1"/>
    <col min="13565" max="13565" width="7.42578125" customWidth="1"/>
    <col min="13566" max="13566" width="22.7109375" customWidth="1"/>
    <col min="13567" max="13567" width="14.140625" customWidth="1"/>
    <col min="13568" max="13568" width="13.140625" customWidth="1"/>
    <col min="13569" max="13569" width="8.140625" customWidth="1"/>
    <col min="13570" max="13570" width="10.85546875" customWidth="1"/>
    <col min="13571" max="13571" width="38.85546875" customWidth="1"/>
    <col min="13572" max="13572" width="25.5703125" customWidth="1"/>
    <col min="13576" max="13576" width="44.85546875" customWidth="1"/>
    <col min="13577" max="13578" width="14.140625" customWidth="1"/>
    <col min="13579" max="13579" width="13.85546875" customWidth="1"/>
    <col min="13580" max="13580" width="13.5703125" customWidth="1"/>
    <col min="13581" max="13581" width="11.7109375" customWidth="1"/>
    <col min="13582" max="13582" width="14" customWidth="1"/>
    <col min="13583" max="13583" width="16.28515625" customWidth="1"/>
    <col min="13584" max="13584" width="12.5703125" customWidth="1"/>
    <col min="13585" max="13585" width="13.28515625" customWidth="1"/>
    <col min="13586" max="13586" width="14.85546875" customWidth="1"/>
    <col min="13587" max="13587" width="18" customWidth="1"/>
    <col min="13588" max="13588" width="24" customWidth="1"/>
    <col min="13821" max="13821" width="7.42578125" customWidth="1"/>
    <col min="13822" max="13822" width="22.7109375" customWidth="1"/>
    <col min="13823" max="13823" width="14.140625" customWidth="1"/>
    <col min="13824" max="13824" width="13.140625" customWidth="1"/>
    <col min="13825" max="13825" width="8.140625" customWidth="1"/>
    <col min="13826" max="13826" width="10.85546875" customWidth="1"/>
    <col min="13827" max="13827" width="38.85546875" customWidth="1"/>
    <col min="13828" max="13828" width="25.5703125" customWidth="1"/>
    <col min="13832" max="13832" width="44.85546875" customWidth="1"/>
    <col min="13833" max="13834" width="14.140625" customWidth="1"/>
    <col min="13835" max="13835" width="13.85546875" customWidth="1"/>
    <col min="13836" max="13836" width="13.5703125" customWidth="1"/>
    <col min="13837" max="13837" width="11.7109375" customWidth="1"/>
    <col min="13838" max="13838" width="14" customWidth="1"/>
    <col min="13839" max="13839" width="16.28515625" customWidth="1"/>
    <col min="13840" max="13840" width="12.5703125" customWidth="1"/>
    <col min="13841" max="13841" width="13.28515625" customWidth="1"/>
    <col min="13842" max="13842" width="14.85546875" customWidth="1"/>
    <col min="13843" max="13843" width="18" customWidth="1"/>
    <col min="13844" max="13844" width="24" customWidth="1"/>
    <col min="14077" max="14077" width="7.42578125" customWidth="1"/>
    <col min="14078" max="14078" width="22.7109375" customWidth="1"/>
    <col min="14079" max="14079" width="14.140625" customWidth="1"/>
    <col min="14080" max="14080" width="13.140625" customWidth="1"/>
    <col min="14081" max="14081" width="8.140625" customWidth="1"/>
    <col min="14082" max="14082" width="10.85546875" customWidth="1"/>
    <col min="14083" max="14083" width="38.85546875" customWidth="1"/>
    <col min="14084" max="14084" width="25.5703125" customWidth="1"/>
    <col min="14088" max="14088" width="44.85546875" customWidth="1"/>
    <col min="14089" max="14090" width="14.140625" customWidth="1"/>
    <col min="14091" max="14091" width="13.85546875" customWidth="1"/>
    <col min="14092" max="14092" width="13.5703125" customWidth="1"/>
    <col min="14093" max="14093" width="11.7109375" customWidth="1"/>
    <col min="14094" max="14094" width="14" customWidth="1"/>
    <col min="14095" max="14095" width="16.28515625" customWidth="1"/>
    <col min="14096" max="14096" width="12.5703125" customWidth="1"/>
    <col min="14097" max="14097" width="13.28515625" customWidth="1"/>
    <col min="14098" max="14098" width="14.85546875" customWidth="1"/>
    <col min="14099" max="14099" width="18" customWidth="1"/>
    <col min="14100" max="14100" width="24" customWidth="1"/>
    <col min="14333" max="14333" width="7.42578125" customWidth="1"/>
    <col min="14334" max="14334" width="22.7109375" customWidth="1"/>
    <col min="14335" max="14335" width="14.140625" customWidth="1"/>
    <col min="14336" max="14336" width="13.140625" customWidth="1"/>
    <col min="14337" max="14337" width="8.140625" customWidth="1"/>
    <col min="14338" max="14338" width="10.85546875" customWidth="1"/>
    <col min="14339" max="14339" width="38.85546875" customWidth="1"/>
    <col min="14340" max="14340" width="25.5703125" customWidth="1"/>
    <col min="14344" max="14344" width="44.85546875" customWidth="1"/>
    <col min="14345" max="14346" width="14.140625" customWidth="1"/>
    <col min="14347" max="14347" width="13.85546875" customWidth="1"/>
    <col min="14348" max="14348" width="13.5703125" customWidth="1"/>
    <col min="14349" max="14349" width="11.7109375" customWidth="1"/>
    <col min="14350" max="14350" width="14" customWidth="1"/>
    <col min="14351" max="14351" width="16.28515625" customWidth="1"/>
    <col min="14352" max="14352" width="12.5703125" customWidth="1"/>
    <col min="14353" max="14353" width="13.28515625" customWidth="1"/>
    <col min="14354" max="14354" width="14.85546875" customWidth="1"/>
    <col min="14355" max="14355" width="18" customWidth="1"/>
    <col min="14356" max="14356" width="24" customWidth="1"/>
    <col min="14589" max="14589" width="7.42578125" customWidth="1"/>
    <col min="14590" max="14590" width="22.7109375" customWidth="1"/>
    <col min="14591" max="14591" width="14.140625" customWidth="1"/>
    <col min="14592" max="14592" width="13.140625" customWidth="1"/>
    <col min="14593" max="14593" width="8.140625" customWidth="1"/>
    <col min="14594" max="14594" width="10.85546875" customWidth="1"/>
    <col min="14595" max="14595" width="38.85546875" customWidth="1"/>
    <col min="14596" max="14596" width="25.5703125" customWidth="1"/>
    <col min="14600" max="14600" width="44.85546875" customWidth="1"/>
    <col min="14601" max="14602" width="14.140625" customWidth="1"/>
    <col min="14603" max="14603" width="13.85546875" customWidth="1"/>
    <col min="14604" max="14604" width="13.5703125" customWidth="1"/>
    <col min="14605" max="14605" width="11.7109375" customWidth="1"/>
    <col min="14606" max="14606" width="14" customWidth="1"/>
    <col min="14607" max="14607" width="16.28515625" customWidth="1"/>
    <col min="14608" max="14608" width="12.5703125" customWidth="1"/>
    <col min="14609" max="14609" width="13.28515625" customWidth="1"/>
    <col min="14610" max="14610" width="14.85546875" customWidth="1"/>
    <col min="14611" max="14611" width="18" customWidth="1"/>
    <col min="14612" max="14612" width="24" customWidth="1"/>
    <col min="14845" max="14845" width="7.42578125" customWidth="1"/>
    <col min="14846" max="14846" width="22.7109375" customWidth="1"/>
    <col min="14847" max="14847" width="14.140625" customWidth="1"/>
    <col min="14848" max="14848" width="13.140625" customWidth="1"/>
    <col min="14849" max="14849" width="8.140625" customWidth="1"/>
    <col min="14850" max="14850" width="10.85546875" customWidth="1"/>
    <col min="14851" max="14851" width="38.85546875" customWidth="1"/>
    <col min="14852" max="14852" width="25.5703125" customWidth="1"/>
    <col min="14856" max="14856" width="44.85546875" customWidth="1"/>
    <col min="14857" max="14858" width="14.140625" customWidth="1"/>
    <col min="14859" max="14859" width="13.85546875" customWidth="1"/>
    <col min="14860" max="14860" width="13.5703125" customWidth="1"/>
    <col min="14861" max="14861" width="11.7109375" customWidth="1"/>
    <col min="14862" max="14862" width="14" customWidth="1"/>
    <col min="14863" max="14863" width="16.28515625" customWidth="1"/>
    <col min="14864" max="14864" width="12.5703125" customWidth="1"/>
    <col min="14865" max="14865" width="13.28515625" customWidth="1"/>
    <col min="14866" max="14866" width="14.85546875" customWidth="1"/>
    <col min="14867" max="14867" width="18" customWidth="1"/>
    <col min="14868" max="14868" width="24" customWidth="1"/>
    <col min="15101" max="15101" width="7.42578125" customWidth="1"/>
    <col min="15102" max="15102" width="22.7109375" customWidth="1"/>
    <col min="15103" max="15103" width="14.140625" customWidth="1"/>
    <col min="15104" max="15104" width="13.140625" customWidth="1"/>
    <col min="15105" max="15105" width="8.140625" customWidth="1"/>
    <col min="15106" max="15106" width="10.85546875" customWidth="1"/>
    <col min="15107" max="15107" width="38.85546875" customWidth="1"/>
    <col min="15108" max="15108" width="25.5703125" customWidth="1"/>
    <col min="15112" max="15112" width="44.85546875" customWidth="1"/>
    <col min="15113" max="15114" width="14.140625" customWidth="1"/>
    <col min="15115" max="15115" width="13.85546875" customWidth="1"/>
    <col min="15116" max="15116" width="13.5703125" customWidth="1"/>
    <col min="15117" max="15117" width="11.7109375" customWidth="1"/>
    <col min="15118" max="15118" width="14" customWidth="1"/>
    <col min="15119" max="15119" width="16.28515625" customWidth="1"/>
    <col min="15120" max="15120" width="12.5703125" customWidth="1"/>
    <col min="15121" max="15121" width="13.28515625" customWidth="1"/>
    <col min="15122" max="15122" width="14.85546875" customWidth="1"/>
    <col min="15123" max="15123" width="18" customWidth="1"/>
    <col min="15124" max="15124" width="24" customWidth="1"/>
    <col min="15357" max="15357" width="7.42578125" customWidth="1"/>
    <col min="15358" max="15358" width="22.7109375" customWidth="1"/>
    <col min="15359" max="15359" width="14.140625" customWidth="1"/>
    <col min="15360" max="15360" width="13.140625" customWidth="1"/>
    <col min="15361" max="15361" width="8.140625" customWidth="1"/>
    <col min="15362" max="15362" width="10.85546875" customWidth="1"/>
    <col min="15363" max="15363" width="38.85546875" customWidth="1"/>
    <col min="15364" max="15364" width="25.5703125" customWidth="1"/>
    <col min="15368" max="15368" width="44.85546875" customWidth="1"/>
    <col min="15369" max="15370" width="14.140625" customWidth="1"/>
    <col min="15371" max="15371" width="13.85546875" customWidth="1"/>
    <col min="15372" max="15372" width="13.5703125" customWidth="1"/>
    <col min="15373" max="15373" width="11.7109375" customWidth="1"/>
    <col min="15374" max="15374" width="14" customWidth="1"/>
    <col min="15375" max="15375" width="16.28515625" customWidth="1"/>
    <col min="15376" max="15376" width="12.5703125" customWidth="1"/>
    <col min="15377" max="15377" width="13.28515625" customWidth="1"/>
    <col min="15378" max="15378" width="14.85546875" customWidth="1"/>
    <col min="15379" max="15379" width="18" customWidth="1"/>
    <col min="15380" max="15380" width="24" customWidth="1"/>
    <col min="15613" max="15613" width="7.42578125" customWidth="1"/>
    <col min="15614" max="15614" width="22.7109375" customWidth="1"/>
    <col min="15615" max="15615" width="14.140625" customWidth="1"/>
    <col min="15616" max="15616" width="13.140625" customWidth="1"/>
    <col min="15617" max="15617" width="8.140625" customWidth="1"/>
    <col min="15618" max="15618" width="10.85546875" customWidth="1"/>
    <col min="15619" max="15619" width="38.85546875" customWidth="1"/>
    <col min="15620" max="15620" width="25.5703125" customWidth="1"/>
    <col min="15624" max="15624" width="44.85546875" customWidth="1"/>
    <col min="15625" max="15626" width="14.140625" customWidth="1"/>
    <col min="15627" max="15627" width="13.85546875" customWidth="1"/>
    <col min="15628" max="15628" width="13.5703125" customWidth="1"/>
    <col min="15629" max="15629" width="11.7109375" customWidth="1"/>
    <col min="15630" max="15630" width="14" customWidth="1"/>
    <col min="15631" max="15631" width="16.28515625" customWidth="1"/>
    <col min="15632" max="15632" width="12.5703125" customWidth="1"/>
    <col min="15633" max="15633" width="13.28515625" customWidth="1"/>
    <col min="15634" max="15634" width="14.85546875" customWidth="1"/>
    <col min="15635" max="15635" width="18" customWidth="1"/>
    <col min="15636" max="15636" width="24" customWidth="1"/>
    <col min="15869" max="15869" width="7.42578125" customWidth="1"/>
    <col min="15870" max="15870" width="22.7109375" customWidth="1"/>
    <col min="15871" max="15871" width="14.140625" customWidth="1"/>
    <col min="15872" max="15872" width="13.140625" customWidth="1"/>
    <col min="15873" max="15873" width="8.140625" customWidth="1"/>
    <col min="15874" max="15874" width="10.85546875" customWidth="1"/>
    <col min="15875" max="15875" width="38.85546875" customWidth="1"/>
    <col min="15876" max="15876" width="25.5703125" customWidth="1"/>
    <col min="15880" max="15880" width="44.85546875" customWidth="1"/>
    <col min="15881" max="15882" width="14.140625" customWidth="1"/>
    <col min="15883" max="15883" width="13.85546875" customWidth="1"/>
    <col min="15884" max="15884" width="13.5703125" customWidth="1"/>
    <col min="15885" max="15885" width="11.7109375" customWidth="1"/>
    <col min="15886" max="15886" width="14" customWidth="1"/>
    <col min="15887" max="15887" width="16.28515625" customWidth="1"/>
    <col min="15888" max="15888" width="12.5703125" customWidth="1"/>
    <col min="15889" max="15889" width="13.28515625" customWidth="1"/>
    <col min="15890" max="15890" width="14.85546875" customWidth="1"/>
    <col min="15891" max="15891" width="18" customWidth="1"/>
    <col min="15892" max="15892" width="24" customWidth="1"/>
    <col min="16125" max="16125" width="7.42578125" customWidth="1"/>
    <col min="16126" max="16126" width="22.7109375" customWidth="1"/>
    <col min="16127" max="16127" width="14.140625" customWidth="1"/>
    <col min="16128" max="16128" width="13.140625" customWidth="1"/>
    <col min="16129" max="16129" width="8.140625" customWidth="1"/>
    <col min="16130" max="16130" width="10.85546875" customWidth="1"/>
    <col min="16131" max="16131" width="38.85546875" customWidth="1"/>
    <col min="16132" max="16132" width="25.5703125" customWidth="1"/>
    <col min="16136" max="16136" width="44.85546875" customWidth="1"/>
    <col min="16137" max="16138" width="14.140625" customWidth="1"/>
    <col min="16139" max="16139" width="13.85546875" customWidth="1"/>
    <col min="16140" max="16140" width="13.5703125" customWidth="1"/>
    <col min="16141" max="16141" width="11.7109375" customWidth="1"/>
    <col min="16142" max="16142" width="14" customWidth="1"/>
    <col min="16143" max="16143" width="16.28515625" customWidth="1"/>
    <col min="16144" max="16144" width="12.5703125" customWidth="1"/>
    <col min="16145" max="16145" width="13.28515625" customWidth="1"/>
    <col min="16146" max="16146" width="14.85546875" customWidth="1"/>
    <col min="16147" max="16147" width="18" customWidth="1"/>
    <col min="16148" max="16148" width="24" customWidth="1"/>
  </cols>
  <sheetData>
    <row r="1" spans="2:38" ht="24.75" customHeight="1"/>
    <row r="2" spans="2:38" s="7" customFormat="1" ht="24.75" customHeight="1" thickBot="1">
      <c r="B2" s="357" t="s">
        <v>173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65"/>
      <c r="O2" s="365"/>
      <c r="P2" s="365"/>
      <c r="Q2" s="365"/>
      <c r="R2" s="365"/>
      <c r="S2" s="365"/>
      <c r="T2" s="365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2:38" s="7" customFormat="1" ht="32.25" customHeight="1" thickBot="1">
      <c r="B3" s="86"/>
      <c r="C3" s="86"/>
      <c r="D3" s="86"/>
      <c r="E3" s="226"/>
      <c r="F3" s="311"/>
      <c r="G3" s="162"/>
      <c r="H3" s="162"/>
      <c r="I3" s="162"/>
      <c r="J3" s="86"/>
      <c r="K3" s="86"/>
      <c r="L3" s="86"/>
      <c r="M3" s="126"/>
      <c r="N3" s="366" t="s">
        <v>26</v>
      </c>
      <c r="O3" s="367"/>
      <c r="P3" s="368"/>
      <c r="Q3" s="275" t="s">
        <v>33</v>
      </c>
      <c r="R3" s="367" t="s">
        <v>34</v>
      </c>
      <c r="S3" s="367"/>
      <c r="T3" s="36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2:38" ht="38.25" customHeight="1" thickBot="1">
      <c r="B4" s="290" t="s">
        <v>0</v>
      </c>
      <c r="C4" s="265" t="s">
        <v>165</v>
      </c>
      <c r="D4" s="267" t="s">
        <v>1</v>
      </c>
      <c r="E4" s="271" t="s">
        <v>481</v>
      </c>
      <c r="F4" s="267" t="s">
        <v>481</v>
      </c>
      <c r="G4" s="267" t="s">
        <v>115</v>
      </c>
      <c r="H4" s="268" t="s">
        <v>164</v>
      </c>
      <c r="I4" s="267" t="s">
        <v>116</v>
      </c>
      <c r="J4" s="267" t="s">
        <v>2</v>
      </c>
      <c r="K4" s="370" t="s">
        <v>3</v>
      </c>
      <c r="L4" s="370"/>
      <c r="M4" s="371"/>
      <c r="N4" s="269" t="s">
        <v>27</v>
      </c>
      <c r="O4" s="270" t="s">
        <v>28</v>
      </c>
      <c r="P4" s="271" t="s">
        <v>29</v>
      </c>
      <c r="Q4" s="271" t="s">
        <v>27</v>
      </c>
      <c r="R4" s="272" t="s">
        <v>4</v>
      </c>
      <c r="S4" s="273" t="s">
        <v>5</v>
      </c>
      <c r="T4" s="274" t="s">
        <v>6</v>
      </c>
    </row>
    <row r="5" spans="2:38" s="16" customFormat="1" ht="19.5" customHeight="1">
      <c r="B5" s="106">
        <v>1</v>
      </c>
      <c r="C5" s="55" t="s">
        <v>674</v>
      </c>
      <c r="D5" s="310" t="s">
        <v>687</v>
      </c>
      <c r="E5" s="262" t="s">
        <v>690</v>
      </c>
      <c r="F5" s="230" t="s">
        <v>690</v>
      </c>
      <c r="G5" s="10" t="s">
        <v>692</v>
      </c>
      <c r="H5" s="308" t="s">
        <v>699</v>
      </c>
      <c r="I5" s="109" t="str">
        <f>UPPER(H5)</f>
        <v>PARTICIPAR DO GRAND ROUND</v>
      </c>
      <c r="J5" s="9" t="s">
        <v>361</v>
      </c>
      <c r="K5" s="17">
        <v>43709</v>
      </c>
      <c r="L5" s="10">
        <v>11</v>
      </c>
      <c r="M5" s="11">
        <v>11</v>
      </c>
      <c r="N5" s="57"/>
      <c r="O5" s="57"/>
      <c r="P5" s="124"/>
      <c r="Q5" s="54"/>
      <c r="R5" s="13">
        <v>401.83</v>
      </c>
      <c r="S5" s="14">
        <v>0</v>
      </c>
      <c r="T5" s="115">
        <f t="shared" ref="T5:T23" si="0">N5+O5+P5+Q5+R5+S5</f>
        <v>401.83</v>
      </c>
      <c r="U5" s="15"/>
      <c r="V5" s="15"/>
      <c r="W5" s="15"/>
      <c r="X5" s="15"/>
    </row>
    <row r="6" spans="2:38" s="16" customFormat="1" ht="12.75" customHeight="1">
      <c r="B6" s="94">
        <v>2</v>
      </c>
      <c r="C6" s="56" t="s">
        <v>675</v>
      </c>
      <c r="D6" s="10" t="s">
        <v>107</v>
      </c>
      <c r="E6" s="231" t="s">
        <v>483</v>
      </c>
      <c r="F6" s="231" t="s">
        <v>483</v>
      </c>
      <c r="G6" s="10" t="s">
        <v>693</v>
      </c>
      <c r="H6" s="9" t="s">
        <v>700</v>
      </c>
      <c r="I6" s="9" t="str">
        <f>UPPER(H6)</f>
        <v>REUNIÃO DO CONSELHO DA ADMINISTRAÇÃO</v>
      </c>
      <c r="J6" s="9" t="s">
        <v>265</v>
      </c>
      <c r="K6" s="17">
        <v>43678</v>
      </c>
      <c r="L6" s="10">
        <v>26</v>
      </c>
      <c r="M6" s="11">
        <v>26</v>
      </c>
      <c r="N6" s="57"/>
      <c r="O6" s="57"/>
      <c r="P6" s="57"/>
      <c r="Q6" s="54">
        <v>0</v>
      </c>
      <c r="R6" s="13">
        <f>385.1+0</f>
        <v>385.1</v>
      </c>
      <c r="S6" s="14">
        <v>0</v>
      </c>
      <c r="T6" s="93">
        <f t="shared" si="0"/>
        <v>385.1</v>
      </c>
      <c r="U6" s="15"/>
      <c r="V6" s="15"/>
      <c r="W6" s="15"/>
      <c r="X6" s="15"/>
    </row>
    <row r="7" spans="2:38" s="16" customFormat="1" ht="12.75" customHeight="1">
      <c r="B7" s="94">
        <v>3</v>
      </c>
      <c r="C7" s="55" t="s">
        <v>676</v>
      </c>
      <c r="D7" s="10" t="s">
        <v>451</v>
      </c>
      <c r="E7" s="230" t="s">
        <v>567</v>
      </c>
      <c r="F7" s="230" t="s">
        <v>567</v>
      </c>
      <c r="G7" s="10" t="s">
        <v>693</v>
      </c>
      <c r="H7" s="9" t="s">
        <v>700</v>
      </c>
      <c r="I7" s="9" t="str">
        <f t="shared" ref="I7:I23" si="1">UPPER(H7)</f>
        <v>REUNIÃO DO CONSELHO DA ADMINISTRAÇÃO</v>
      </c>
      <c r="J7" s="9" t="s">
        <v>56</v>
      </c>
      <c r="K7" s="17">
        <v>43678</v>
      </c>
      <c r="L7" s="10">
        <v>25</v>
      </c>
      <c r="M7" s="11">
        <v>27</v>
      </c>
      <c r="N7" s="57"/>
      <c r="O7" s="57"/>
      <c r="P7" s="57"/>
      <c r="Q7" s="54">
        <v>0</v>
      </c>
      <c r="R7" s="13">
        <f>759.98+869.98</f>
        <v>1629.96</v>
      </c>
      <c r="S7" s="14">
        <v>0</v>
      </c>
      <c r="T7" s="93">
        <f t="shared" si="0"/>
        <v>1629.96</v>
      </c>
      <c r="U7" s="15"/>
      <c r="V7" s="15"/>
      <c r="W7" s="15"/>
      <c r="X7" s="15"/>
    </row>
    <row r="8" spans="2:38" s="16" customFormat="1" ht="12.75" customHeight="1">
      <c r="B8" s="94">
        <v>4</v>
      </c>
      <c r="C8" s="56" t="s">
        <v>677</v>
      </c>
      <c r="D8" s="10" t="s">
        <v>57</v>
      </c>
      <c r="E8" s="230" t="s">
        <v>482</v>
      </c>
      <c r="F8" s="230" t="s">
        <v>482</v>
      </c>
      <c r="G8" s="10" t="s">
        <v>693</v>
      </c>
      <c r="H8" s="9" t="s">
        <v>700</v>
      </c>
      <c r="I8" s="9" t="str">
        <f t="shared" si="1"/>
        <v>REUNIÃO DO CONSELHO DA ADMINISTRAÇÃO</v>
      </c>
      <c r="J8" s="9" t="s">
        <v>56</v>
      </c>
      <c r="K8" s="17">
        <v>43678</v>
      </c>
      <c r="L8" s="10">
        <v>26</v>
      </c>
      <c r="M8" s="11">
        <v>26</v>
      </c>
      <c r="N8" s="57"/>
      <c r="O8" s="57"/>
      <c r="P8" s="57"/>
      <c r="Q8" s="54">
        <v>0</v>
      </c>
      <c r="R8" s="13">
        <v>1629.55</v>
      </c>
      <c r="S8" s="14">
        <v>0</v>
      </c>
      <c r="T8" s="93">
        <f t="shared" si="0"/>
        <v>1629.55</v>
      </c>
      <c r="U8" s="15"/>
      <c r="V8" s="15"/>
      <c r="W8" s="15"/>
      <c r="X8" s="15"/>
    </row>
    <row r="9" spans="2:38" s="16" customFormat="1" ht="24.75" customHeight="1">
      <c r="B9" s="94">
        <v>5</v>
      </c>
      <c r="C9" s="56" t="s">
        <v>678</v>
      </c>
      <c r="D9" s="10" t="s">
        <v>229</v>
      </c>
      <c r="E9" s="230" t="s">
        <v>517</v>
      </c>
      <c r="F9" s="230" t="s">
        <v>517</v>
      </c>
      <c r="G9" s="163" t="s">
        <v>694</v>
      </c>
      <c r="H9" s="164" t="s">
        <v>701</v>
      </c>
      <c r="I9" s="9" t="str">
        <f t="shared" si="1"/>
        <v>PARTICIPAÇÃO NO 65º CURSO DE ADMINISTRAÇÃO ORÇAMENTÁRIA E FINANCEIRA</v>
      </c>
      <c r="J9" s="9" t="s">
        <v>266</v>
      </c>
      <c r="K9" s="17">
        <v>43678</v>
      </c>
      <c r="L9" s="10">
        <v>11</v>
      </c>
      <c r="M9" s="11">
        <v>16</v>
      </c>
      <c r="N9" s="57"/>
      <c r="O9" s="57">
        <v>297.11</v>
      </c>
      <c r="P9" s="57"/>
      <c r="Q9" s="54">
        <f>59+60+14+16+14+13+15+13+17+15+14+50+50</f>
        <v>350</v>
      </c>
      <c r="R9" s="13">
        <v>1700.37</v>
      </c>
      <c r="S9" s="14">
        <f>1564+199.1</f>
        <v>1763.1</v>
      </c>
      <c r="T9" s="93">
        <f t="shared" si="0"/>
        <v>4110.58</v>
      </c>
      <c r="U9" s="15"/>
      <c r="V9" s="15"/>
      <c r="W9" s="15"/>
      <c r="X9" s="15"/>
    </row>
    <row r="10" spans="2:38" s="16" customFormat="1" ht="24.75" customHeight="1">
      <c r="B10" s="94">
        <v>6</v>
      </c>
      <c r="C10" s="56" t="s">
        <v>679</v>
      </c>
      <c r="D10" s="193" t="s">
        <v>231</v>
      </c>
      <c r="E10" s="238" t="s">
        <v>518</v>
      </c>
      <c r="F10" s="238" t="s">
        <v>518</v>
      </c>
      <c r="G10" s="164" t="s">
        <v>232</v>
      </c>
      <c r="H10" s="314" t="s">
        <v>702</v>
      </c>
      <c r="I10" s="9" t="str">
        <f t="shared" si="1"/>
        <v>4ª CERTIFICAÇÃO DO INDICADOR DE GOVERNANÇA IG-SEST</v>
      </c>
      <c r="J10" s="9" t="s">
        <v>65</v>
      </c>
      <c r="K10" s="17">
        <v>43678</v>
      </c>
      <c r="L10" s="10">
        <v>8</v>
      </c>
      <c r="M10" s="11">
        <v>9</v>
      </c>
      <c r="N10" s="57">
        <v>64</v>
      </c>
      <c r="O10" s="57">
        <v>67.25</v>
      </c>
      <c r="P10" s="57"/>
      <c r="Q10" s="54">
        <v>0</v>
      </c>
      <c r="R10" s="13">
        <f>1093.98+1198.39</f>
        <v>2292.37</v>
      </c>
      <c r="S10" s="313">
        <f>347.6+182.6</f>
        <v>530.20000000000005</v>
      </c>
      <c r="T10" s="93">
        <f t="shared" si="0"/>
        <v>2953.8199999999997</v>
      </c>
      <c r="U10" s="15"/>
      <c r="V10" s="15"/>
      <c r="W10" s="15"/>
      <c r="X10" s="15"/>
    </row>
    <row r="11" spans="2:38" s="16" customFormat="1" ht="26.25" customHeight="1">
      <c r="B11" s="94">
        <v>7</v>
      </c>
      <c r="C11" s="56" t="s">
        <v>680</v>
      </c>
      <c r="D11" s="10" t="s">
        <v>306</v>
      </c>
      <c r="E11" s="230" t="s">
        <v>531</v>
      </c>
      <c r="F11" s="230" t="s">
        <v>531</v>
      </c>
      <c r="G11" s="10" t="s">
        <v>695</v>
      </c>
      <c r="H11" s="164" t="s">
        <v>703</v>
      </c>
      <c r="I11" s="9" t="str">
        <f t="shared" si="1"/>
        <v>PARTICIPAÇÃO NO 8º SEBROP - SEMINÁRIO BRASILEIRO DE OBRAS PÚBLICAS </v>
      </c>
      <c r="J11" s="9" t="s">
        <v>65</v>
      </c>
      <c r="K11" s="17">
        <v>43678</v>
      </c>
      <c r="L11" s="10">
        <v>27</v>
      </c>
      <c r="M11" s="11">
        <v>30</v>
      </c>
      <c r="N11" s="57">
        <v>172.5</v>
      </c>
      <c r="O11" s="57">
        <v>52.2</v>
      </c>
      <c r="P11" s="57"/>
      <c r="Q11" s="54">
        <v>0</v>
      </c>
      <c r="R11" s="13">
        <v>1456.55</v>
      </c>
      <c r="S11" s="313">
        <f>862.5+195.9</f>
        <v>1058.4000000000001</v>
      </c>
      <c r="T11" s="93">
        <f t="shared" si="0"/>
        <v>2739.65</v>
      </c>
      <c r="U11" s="15"/>
      <c r="V11" s="15"/>
      <c r="W11" s="15"/>
      <c r="X11" s="15"/>
    </row>
    <row r="12" spans="2:38" s="16" customFormat="1" ht="24.75" customHeight="1">
      <c r="B12" s="94">
        <v>8</v>
      </c>
      <c r="C12" s="55" t="s">
        <v>681</v>
      </c>
      <c r="D12" s="10" t="s">
        <v>208</v>
      </c>
      <c r="E12" s="230" t="s">
        <v>511</v>
      </c>
      <c r="F12" s="230" t="s">
        <v>511</v>
      </c>
      <c r="G12" s="163" t="s">
        <v>221</v>
      </c>
      <c r="H12" s="164" t="s">
        <v>704</v>
      </c>
      <c r="I12" s="9" t="str">
        <f t="shared" si="1"/>
        <v>MINISTRAR TREINAMENTO AGHUSE - MÓDULO SESSÕES TERAPÊUTICAS - QUIMIOTERAPIA</v>
      </c>
      <c r="J12" s="10" t="s">
        <v>72</v>
      </c>
      <c r="K12" s="17">
        <v>43678</v>
      </c>
      <c r="L12" s="10">
        <v>19</v>
      </c>
      <c r="M12" s="11">
        <v>21</v>
      </c>
      <c r="N12" s="57">
        <v>174.86</v>
      </c>
      <c r="O12" s="57">
        <v>164.79</v>
      </c>
      <c r="P12" s="57"/>
      <c r="Q12" s="54">
        <v>0</v>
      </c>
      <c r="R12" s="13">
        <f>467.08+505.08</f>
        <v>972.16</v>
      </c>
      <c r="S12" s="313">
        <f>512.4+208</f>
        <v>720.4</v>
      </c>
      <c r="T12" s="93">
        <f t="shared" si="0"/>
        <v>2032.21</v>
      </c>
      <c r="U12" s="15"/>
      <c r="V12" s="15"/>
      <c r="W12" s="15"/>
      <c r="X12" s="15"/>
    </row>
    <row r="13" spans="2:38" s="16" customFormat="1" ht="24" customHeight="1">
      <c r="B13" s="94">
        <v>9</v>
      </c>
      <c r="C13" s="55" t="s">
        <v>682</v>
      </c>
      <c r="D13" s="10" t="s">
        <v>513</v>
      </c>
      <c r="E13" s="230" t="s">
        <v>512</v>
      </c>
      <c r="F13" s="230" t="s">
        <v>512</v>
      </c>
      <c r="G13" s="163" t="s">
        <v>696</v>
      </c>
      <c r="H13" s="164" t="s">
        <v>705</v>
      </c>
      <c r="I13" s="9" t="str">
        <f t="shared" si="1"/>
        <v>MNISTRAR TREINAMENTO MÓDULO SESSÕES TERAPÊUTICAS - AGHUSE</v>
      </c>
      <c r="J13" s="10" t="s">
        <v>72</v>
      </c>
      <c r="K13" s="17">
        <v>43678</v>
      </c>
      <c r="L13" s="10">
        <v>21</v>
      </c>
      <c r="M13" s="11">
        <v>22</v>
      </c>
      <c r="N13" s="57">
        <v>0</v>
      </c>
      <c r="O13" s="57">
        <v>0</v>
      </c>
      <c r="P13" s="57"/>
      <c r="Q13" s="54">
        <v>0</v>
      </c>
      <c r="R13" s="13">
        <f>661.98+605.08</f>
        <v>1267.06</v>
      </c>
      <c r="S13" s="313">
        <f>256+6</f>
        <v>262</v>
      </c>
      <c r="T13" s="93">
        <f t="shared" si="0"/>
        <v>1529.06</v>
      </c>
      <c r="U13" s="15"/>
      <c r="V13" s="15"/>
      <c r="W13" s="15"/>
      <c r="X13" s="15"/>
    </row>
    <row r="14" spans="2:38" s="16" customFormat="1" ht="48.75" customHeight="1">
      <c r="B14" s="94">
        <v>10</v>
      </c>
      <c r="C14" s="55" t="s">
        <v>683</v>
      </c>
      <c r="D14" s="10" t="s">
        <v>97</v>
      </c>
      <c r="E14" s="238" t="s">
        <v>500</v>
      </c>
      <c r="F14" s="238" t="s">
        <v>500</v>
      </c>
      <c r="G14" s="164" t="s">
        <v>650</v>
      </c>
      <c r="H14" s="164" t="s">
        <v>706</v>
      </c>
      <c r="I14" s="9" t="str">
        <f t="shared" si="1"/>
        <v>REPRESENTAR A INSTITUIÇÃO COMO MEMBRO DA COMISSÃO DE AVALIAÇÃO QUADRIENAL 2017/2020 - MEDICINA III, NO SEMINÁRIO DE MEIO TERMO DA CAPES.</v>
      </c>
      <c r="J14" s="10" t="s">
        <v>65</v>
      </c>
      <c r="K14" s="17">
        <v>43678</v>
      </c>
      <c r="L14" s="10">
        <v>19</v>
      </c>
      <c r="M14" s="11">
        <v>20</v>
      </c>
      <c r="N14" s="57">
        <v>126.05</v>
      </c>
      <c r="O14" s="57">
        <v>59.57</v>
      </c>
      <c r="P14" s="57"/>
      <c r="Q14" s="54">
        <v>0</v>
      </c>
      <c r="R14" s="13">
        <v>2273.37</v>
      </c>
      <c r="S14" s="313">
        <f>326.6+5.5</f>
        <v>332.1</v>
      </c>
      <c r="T14" s="93">
        <f t="shared" si="0"/>
        <v>2791.0899999999997</v>
      </c>
      <c r="U14" s="15"/>
      <c r="V14" s="15"/>
      <c r="W14" s="15"/>
      <c r="X14" s="15"/>
    </row>
    <row r="15" spans="2:38" s="16" customFormat="1" ht="33.75" customHeight="1">
      <c r="B15" s="94">
        <v>11</v>
      </c>
      <c r="C15" s="55" t="s">
        <v>684</v>
      </c>
      <c r="D15" s="168" t="s">
        <v>204</v>
      </c>
      <c r="E15" s="230" t="s">
        <v>494</v>
      </c>
      <c r="F15" s="230" t="s">
        <v>494</v>
      </c>
      <c r="G15" s="164" t="s">
        <v>205</v>
      </c>
      <c r="H15" s="164" t="s">
        <v>707</v>
      </c>
      <c r="I15" s="9" t="str">
        <f t="shared" si="1"/>
        <v>REUNIÃO COM O ADVOGADO DO CONSÓRCIO TRATENGE ENGEFORM, DR. ARTHUR GUEDES, RESPONSÁVEL PELA OBRA DOS ANEXOS I E II</v>
      </c>
      <c r="J15" s="10" t="s">
        <v>65</v>
      </c>
      <c r="K15" s="17">
        <v>43678</v>
      </c>
      <c r="L15" s="10">
        <v>15</v>
      </c>
      <c r="M15" s="11">
        <v>15</v>
      </c>
      <c r="N15" s="57">
        <v>0</v>
      </c>
      <c r="O15" s="57">
        <v>0</v>
      </c>
      <c r="P15" s="57"/>
      <c r="Q15" s="54">
        <f>47+29.89+28+63</f>
        <v>167.89</v>
      </c>
      <c r="R15" s="13">
        <v>2911.37</v>
      </c>
      <c r="S15" s="14">
        <v>0</v>
      </c>
      <c r="T15" s="93">
        <f t="shared" si="0"/>
        <v>3079.2599999999998</v>
      </c>
      <c r="U15" s="15"/>
      <c r="V15" s="15"/>
      <c r="W15" s="15"/>
      <c r="X15" s="15"/>
    </row>
    <row r="16" spans="2:38" s="16" customFormat="1" ht="24" customHeight="1">
      <c r="B16" s="94">
        <v>12</v>
      </c>
      <c r="C16" s="55" t="s">
        <v>686</v>
      </c>
      <c r="D16" s="168" t="s">
        <v>688</v>
      </c>
      <c r="E16" s="230" t="s">
        <v>691</v>
      </c>
      <c r="F16" s="230" t="s">
        <v>691</v>
      </c>
      <c r="G16" s="164" t="s">
        <v>697</v>
      </c>
      <c r="H16" s="164" t="s">
        <v>708</v>
      </c>
      <c r="I16" s="9" t="str">
        <f t="shared" si="1"/>
        <v>MINISTRAR TREINAMENTO AGHUSE DO MÓDULO REGISTRO DE COLABORADORES</v>
      </c>
      <c r="J16" s="10" t="s">
        <v>103</v>
      </c>
      <c r="K16" s="17">
        <v>43709</v>
      </c>
      <c r="L16" s="10">
        <v>1</v>
      </c>
      <c r="M16" s="11">
        <v>3</v>
      </c>
      <c r="N16" s="57">
        <v>93.9</v>
      </c>
      <c r="O16" s="57">
        <v>114</v>
      </c>
      <c r="P16" s="57"/>
      <c r="Q16" s="54">
        <v>0</v>
      </c>
      <c r="R16" s="315">
        <f>850.98+1601.85</f>
        <v>2452.83</v>
      </c>
      <c r="S16" s="313">
        <f>530.4+141.5</f>
        <v>671.9</v>
      </c>
      <c r="T16" s="93">
        <f t="shared" si="0"/>
        <v>3332.63</v>
      </c>
      <c r="U16" s="15"/>
      <c r="V16" s="15"/>
      <c r="W16" s="15"/>
      <c r="X16" s="15"/>
    </row>
    <row r="17" spans="2:24" s="16" customFormat="1" ht="33.75" customHeight="1">
      <c r="B17" s="94">
        <v>13</v>
      </c>
      <c r="C17" s="55" t="s">
        <v>710</v>
      </c>
      <c r="D17" s="168" t="s">
        <v>689</v>
      </c>
      <c r="E17" s="309"/>
      <c r="F17" s="230" t="s">
        <v>717</v>
      </c>
      <c r="G17" s="164" t="s">
        <v>718</v>
      </c>
      <c r="H17" s="164" t="s">
        <v>723</v>
      </c>
      <c r="I17" s="9" t="str">
        <f t="shared" si="1"/>
        <v>MINISTRAR TREINAMENTO DOS MÓDULOS:  REGISTRO DE COLABORADOR, PACIENTES E INTERNAÇÃO ADMINISTRATIVO PARA O HMAM.</v>
      </c>
      <c r="J17" s="10" t="s">
        <v>103</v>
      </c>
      <c r="K17" s="17">
        <v>43709</v>
      </c>
      <c r="L17" s="10">
        <v>2</v>
      </c>
      <c r="M17" s="11">
        <v>6</v>
      </c>
      <c r="N17" s="57">
        <v>223.06</v>
      </c>
      <c r="O17" s="57">
        <v>233.01</v>
      </c>
      <c r="P17" s="57"/>
      <c r="Q17" s="54">
        <v>0</v>
      </c>
      <c r="R17" s="315">
        <f>939.98+1105.85</f>
        <v>2045.83</v>
      </c>
      <c r="S17" s="313">
        <f>1060.8+103.5</f>
        <v>1164.3</v>
      </c>
      <c r="T17" s="93">
        <f t="shared" si="0"/>
        <v>3666.2</v>
      </c>
      <c r="U17" s="15"/>
      <c r="V17" s="15"/>
      <c r="W17" s="15"/>
      <c r="X17" s="15"/>
    </row>
    <row r="18" spans="2:24" s="16" customFormat="1" ht="60" customHeight="1">
      <c r="B18" s="94">
        <v>14</v>
      </c>
      <c r="C18" s="55" t="s">
        <v>685</v>
      </c>
      <c r="D18" s="10" t="s">
        <v>102</v>
      </c>
      <c r="E18" s="238" t="s">
        <v>496</v>
      </c>
      <c r="F18" s="238" t="s">
        <v>496</v>
      </c>
      <c r="G18" s="164" t="s">
        <v>698</v>
      </c>
      <c r="H18" s="164" t="s">
        <v>709</v>
      </c>
      <c r="I18" s="9" t="str">
        <f t="shared" si="1"/>
        <v>REPRESENTAR O HCPA NO "FÓRUM EBSERH - RNP - EVOLUÇÃO E DESAFIOS DA SAÚDE DIGITAL",  APRESENTANDO O PAINEL “TRADIÇÃO E INOVAÇÃO NA INFORMATIZAÇÃO DE HOSPITAL DE GRANDE PORTE”.</v>
      </c>
      <c r="J18" s="9" t="s">
        <v>65</v>
      </c>
      <c r="K18" s="17">
        <v>43678</v>
      </c>
      <c r="L18" s="10">
        <v>26</v>
      </c>
      <c r="M18" s="11">
        <v>27</v>
      </c>
      <c r="N18" s="57">
        <v>122.37</v>
      </c>
      <c r="O18" s="57">
        <v>97</v>
      </c>
      <c r="P18" s="57"/>
      <c r="Q18" s="54">
        <v>0</v>
      </c>
      <c r="R18" s="315">
        <v>2316.15</v>
      </c>
      <c r="S18" s="313">
        <f>350.75+118.8</f>
        <v>469.55</v>
      </c>
      <c r="T18" s="93">
        <f t="shared" si="0"/>
        <v>3005.07</v>
      </c>
      <c r="U18" s="15"/>
      <c r="V18" s="15"/>
      <c r="W18" s="15"/>
      <c r="X18" s="15"/>
    </row>
    <row r="19" spans="2:24" s="16" customFormat="1" ht="26.25" customHeight="1">
      <c r="B19" s="94">
        <v>15</v>
      </c>
      <c r="C19" s="55" t="s">
        <v>711</v>
      </c>
      <c r="D19" s="10" t="s">
        <v>204</v>
      </c>
      <c r="E19" s="309"/>
      <c r="F19" s="230" t="s">
        <v>494</v>
      </c>
      <c r="G19" s="194" t="s">
        <v>452</v>
      </c>
      <c r="H19" s="164" t="s">
        <v>724</v>
      </c>
      <c r="I19" s="9" t="str">
        <f t="shared" si="1"/>
        <v>REUNIÃO DE SERVIÇO COM ADVOGADOS E REPRESENTANTES  DA EMPRESA CONCREMAT.</v>
      </c>
      <c r="J19" s="9" t="s">
        <v>726</v>
      </c>
      <c r="K19" s="17">
        <v>43678</v>
      </c>
      <c r="L19" s="10">
        <v>28</v>
      </c>
      <c r="M19" s="11">
        <v>28</v>
      </c>
      <c r="N19" s="57">
        <v>0</v>
      </c>
      <c r="O19" s="57">
        <v>24.87</v>
      </c>
      <c r="P19" s="57"/>
      <c r="Q19" s="54">
        <v>40</v>
      </c>
      <c r="R19" s="13">
        <f>857.98+952.85</f>
        <v>1810.83</v>
      </c>
      <c r="S19" s="14">
        <v>0</v>
      </c>
      <c r="T19" s="93">
        <f t="shared" si="0"/>
        <v>1875.6999999999998</v>
      </c>
      <c r="U19" s="15"/>
      <c r="V19" s="15"/>
      <c r="W19" s="15"/>
      <c r="X19" s="15"/>
    </row>
    <row r="20" spans="2:24" s="16" customFormat="1" ht="23.25" customHeight="1">
      <c r="B20" s="94">
        <v>16</v>
      </c>
      <c r="C20" s="55" t="s">
        <v>712</v>
      </c>
      <c r="D20" s="10" t="s">
        <v>206</v>
      </c>
      <c r="E20" s="18"/>
      <c r="F20" s="238" t="s">
        <v>510</v>
      </c>
      <c r="G20" s="164" t="s">
        <v>719</v>
      </c>
      <c r="H20" s="164" t="s">
        <v>724</v>
      </c>
      <c r="I20" s="9" t="str">
        <f t="shared" si="1"/>
        <v>REUNIÃO DE SERVIÇO COM ADVOGADOS E REPRESENTANTES  DA EMPRESA CONCREMAT.</v>
      </c>
      <c r="J20" s="9" t="s">
        <v>726</v>
      </c>
      <c r="K20" s="17">
        <v>43678</v>
      </c>
      <c r="L20" s="10">
        <v>28</v>
      </c>
      <c r="M20" s="11">
        <v>28</v>
      </c>
      <c r="N20" s="57">
        <v>84.84</v>
      </c>
      <c r="O20" s="57"/>
      <c r="P20" s="57"/>
      <c r="Q20" s="54">
        <f>28.9+11.7+25.3</f>
        <v>65.899999999999991</v>
      </c>
      <c r="R20" s="13">
        <f>857.98+952.85</f>
        <v>1810.83</v>
      </c>
      <c r="S20" s="14">
        <v>0</v>
      </c>
      <c r="T20" s="93">
        <f t="shared" si="0"/>
        <v>1961.57</v>
      </c>
      <c r="U20" s="15"/>
      <c r="V20" s="15"/>
      <c r="W20" s="15"/>
      <c r="X20" s="15"/>
    </row>
    <row r="21" spans="2:24" s="16" customFormat="1" ht="23.25" customHeight="1">
      <c r="B21" s="94">
        <v>17</v>
      </c>
      <c r="C21" s="55" t="s">
        <v>713</v>
      </c>
      <c r="D21" s="10" t="s">
        <v>715</v>
      </c>
      <c r="E21" s="18"/>
      <c r="F21" s="238" t="s">
        <v>720</v>
      </c>
      <c r="G21" s="164" t="s">
        <v>719</v>
      </c>
      <c r="H21" s="164" t="s">
        <v>724</v>
      </c>
      <c r="I21" s="9" t="str">
        <f t="shared" si="1"/>
        <v>REUNIÃO DE SERVIÇO COM ADVOGADOS E REPRESENTANTES  DA EMPRESA CONCREMAT.</v>
      </c>
      <c r="J21" s="9" t="s">
        <v>726</v>
      </c>
      <c r="K21" s="17">
        <v>43679</v>
      </c>
      <c r="L21" s="10">
        <v>28</v>
      </c>
      <c r="M21" s="11">
        <v>28</v>
      </c>
      <c r="N21" s="57">
        <v>0</v>
      </c>
      <c r="O21" s="57">
        <v>0</v>
      </c>
      <c r="P21" s="57"/>
      <c r="Q21" s="54">
        <f>35.6+48</f>
        <v>83.6</v>
      </c>
      <c r="R21" s="13">
        <f>857.98+952.85</f>
        <v>1810.83</v>
      </c>
      <c r="S21" s="14">
        <v>0</v>
      </c>
      <c r="T21" s="93">
        <f t="shared" si="0"/>
        <v>1894.4299999999998</v>
      </c>
      <c r="U21" s="15"/>
      <c r="V21" s="15"/>
      <c r="W21" s="15"/>
      <c r="X21" s="15"/>
    </row>
    <row r="22" spans="2:24" s="16" customFormat="1" ht="47.25" customHeight="1">
      <c r="B22" s="94">
        <v>18</v>
      </c>
      <c r="C22" s="55" t="s">
        <v>714</v>
      </c>
      <c r="D22" s="10" t="s">
        <v>716</v>
      </c>
      <c r="E22" s="18"/>
      <c r="F22" s="238" t="s">
        <v>721</v>
      </c>
      <c r="G22" s="164" t="s">
        <v>722</v>
      </c>
      <c r="H22" s="165" t="s">
        <v>725</v>
      </c>
      <c r="I22" s="9" t="str">
        <f t="shared" si="1"/>
        <v>UTILIZAR PRÊMIO GANHO EM SEMANA CIENTÍFICA ( PASSAGENS ), PARA PARTICIPAR NO 15º CONGRESSO BRASILEIRO DE PNEUMOLOGIA PEDIÁTRICA EM MACEIÓ.</v>
      </c>
      <c r="J22" s="9" t="s">
        <v>727</v>
      </c>
      <c r="K22" s="17">
        <v>43770</v>
      </c>
      <c r="L22" s="10">
        <v>10</v>
      </c>
      <c r="M22" s="11">
        <v>17</v>
      </c>
      <c r="N22" s="57"/>
      <c r="O22" s="57"/>
      <c r="P22" s="57"/>
      <c r="Q22" s="54">
        <v>0</v>
      </c>
      <c r="R22" s="13">
        <v>1417.93</v>
      </c>
      <c r="S22" s="14">
        <v>0</v>
      </c>
      <c r="T22" s="93">
        <f t="shared" si="0"/>
        <v>1417.93</v>
      </c>
      <c r="U22" s="15"/>
      <c r="V22" s="15"/>
      <c r="W22" s="15"/>
      <c r="X22" s="15"/>
    </row>
    <row r="23" spans="2:24" s="16" customFormat="1" ht="12.75" customHeight="1" thickBot="1">
      <c r="B23" s="94"/>
      <c r="C23" s="96"/>
      <c r="D23" s="97"/>
      <c r="E23" s="97"/>
      <c r="F23" s="97"/>
      <c r="G23" s="97"/>
      <c r="H23" s="177"/>
      <c r="I23" s="183" t="str">
        <f t="shared" si="1"/>
        <v/>
      </c>
      <c r="J23" s="98"/>
      <c r="K23" s="99"/>
      <c r="L23" s="100"/>
      <c r="M23" s="101"/>
      <c r="N23" s="125"/>
      <c r="O23" s="125"/>
      <c r="P23" s="125"/>
      <c r="Q23" s="116"/>
      <c r="R23" s="103"/>
      <c r="S23" s="104"/>
      <c r="T23" s="105">
        <f t="shared" si="0"/>
        <v>0</v>
      </c>
      <c r="U23" s="15"/>
      <c r="V23" s="15"/>
      <c r="W23" s="15"/>
      <c r="X23" s="15"/>
    </row>
    <row r="24" spans="2:24" s="30" customFormat="1" ht="24.75" customHeight="1">
      <c r="C24" s="31"/>
      <c r="D24" s="31"/>
      <c r="E24" s="31"/>
      <c r="F24" s="31"/>
      <c r="G24" s="31"/>
      <c r="H24" s="31"/>
      <c r="I24" s="31"/>
      <c r="J24" s="33"/>
      <c r="K24" s="31"/>
      <c r="L24" s="19"/>
      <c r="M24" s="32"/>
      <c r="N24" s="35">
        <f t="shared" ref="N24:S24" si="2">SUM(N5:N23)</f>
        <v>1061.58</v>
      </c>
      <c r="O24" s="35">
        <f t="shared" si="2"/>
        <v>1109.8</v>
      </c>
      <c r="P24" s="35">
        <f t="shared" si="2"/>
        <v>0</v>
      </c>
      <c r="Q24" s="120">
        <f t="shared" si="2"/>
        <v>707.39</v>
      </c>
      <c r="R24" s="59">
        <f t="shared" si="2"/>
        <v>30584.920000000006</v>
      </c>
      <c r="S24" s="60">
        <f t="shared" si="2"/>
        <v>6971.9500000000007</v>
      </c>
      <c r="T24" s="58">
        <f>SUM(T5:T23)+Q25</f>
        <v>40442.713900000002</v>
      </c>
    </row>
    <row r="25" spans="2:24" s="39" customFormat="1" ht="19.5" customHeight="1" thickBot="1">
      <c r="C25" s="40"/>
      <c r="D25" s="358"/>
      <c r="E25" s="358"/>
      <c r="F25" s="358"/>
      <c r="G25" s="358"/>
      <c r="H25" s="358"/>
      <c r="I25" s="358"/>
      <c r="J25" s="358"/>
      <c r="K25" s="358"/>
      <c r="L25" s="358"/>
      <c r="M25" s="41"/>
      <c r="N25" s="42"/>
      <c r="O25" s="42"/>
      <c r="P25" s="87" t="s">
        <v>31</v>
      </c>
      <c r="Q25" s="26">
        <f>Q24*1%</f>
        <v>7.0739000000000001</v>
      </c>
      <c r="T25" s="43"/>
    </row>
    <row r="26" spans="2:24" s="39" customFormat="1" ht="24.75" customHeight="1" thickBot="1">
      <c r="B26" s="284" t="s">
        <v>31</v>
      </c>
      <c r="C26" s="31"/>
      <c r="D26" s="147" t="s">
        <v>41</v>
      </c>
      <c r="E26" s="184"/>
      <c r="F26" s="184"/>
      <c r="G26" s="217"/>
      <c r="H26" s="217"/>
      <c r="I26" s="217"/>
      <c r="J26" s="44"/>
      <c r="K26" s="40"/>
      <c r="L26" s="40"/>
      <c r="M26" s="41"/>
      <c r="N26" s="42"/>
      <c r="O26" s="42"/>
      <c r="P26" s="42"/>
      <c r="Q26" s="89">
        <f>Q24+Q25</f>
        <v>714.46389999999997</v>
      </c>
      <c r="R26" s="45"/>
      <c r="S26" s="43"/>
      <c r="T26" s="46" t="s">
        <v>8</v>
      </c>
    </row>
    <row r="27" spans="2:24" s="39" customFormat="1" ht="24.75" customHeight="1">
      <c r="C27" s="40"/>
      <c r="D27" s="359"/>
      <c r="E27" s="359"/>
      <c r="F27" s="359"/>
      <c r="G27" s="359"/>
      <c r="H27" s="359"/>
      <c r="I27" s="359"/>
      <c r="J27" s="359"/>
      <c r="K27" s="359"/>
      <c r="L27" s="359"/>
      <c r="M27" s="41"/>
      <c r="N27" s="42"/>
      <c r="O27" s="42"/>
      <c r="P27" s="42"/>
      <c r="Q27" s="26"/>
      <c r="R27" s="5" t="s">
        <v>7</v>
      </c>
      <c r="S27" s="138">
        <f>N24+O24+P24+Q26+R24+S24</f>
        <v>40442.713900000002</v>
      </c>
      <c r="T27" s="47">
        <f>T24-S27</f>
        <v>0</v>
      </c>
    </row>
    <row r="28" spans="2:24" ht="24.75" customHeight="1">
      <c r="C28" s="48"/>
      <c r="D28" s="49"/>
      <c r="E28" s="49"/>
      <c r="F28" s="49"/>
      <c r="G28" s="49"/>
      <c r="H28" s="49"/>
      <c r="I28" s="49"/>
      <c r="J28" s="50"/>
      <c r="K28" s="51"/>
      <c r="L28" s="51"/>
      <c r="M28" s="51"/>
      <c r="P28" s="87" t="s">
        <v>31</v>
      </c>
      <c r="Q28" s="26" t="s">
        <v>32</v>
      </c>
    </row>
    <row r="29" spans="2:24" ht="24.75" customHeight="1">
      <c r="C29" s="48"/>
      <c r="D29" s="49"/>
      <c r="E29" s="49"/>
      <c r="F29" s="49"/>
      <c r="G29" s="49"/>
      <c r="H29" s="49"/>
      <c r="I29" s="49"/>
      <c r="J29" s="50"/>
      <c r="K29" s="51"/>
      <c r="L29" s="51"/>
      <c r="M29" s="51"/>
      <c r="Q29" s="26"/>
    </row>
    <row r="30" spans="2:24" ht="24.75" customHeight="1">
      <c r="C30" s="48"/>
      <c r="D30" s="49"/>
      <c r="E30" s="49"/>
      <c r="F30" s="49"/>
      <c r="G30" s="49"/>
      <c r="H30" s="49"/>
      <c r="I30" s="49"/>
      <c r="J30" s="50"/>
      <c r="K30" s="51"/>
      <c r="L30" s="51"/>
      <c r="M30" s="51"/>
      <c r="Q30" s="26"/>
    </row>
    <row r="31" spans="2:24" ht="24.75" customHeight="1">
      <c r="C31" s="48"/>
      <c r="D31" s="49"/>
      <c r="E31" s="49"/>
      <c r="F31" s="49"/>
      <c r="G31" s="49"/>
      <c r="H31" s="49"/>
      <c r="I31" s="49"/>
      <c r="J31" s="50"/>
      <c r="K31" s="51"/>
      <c r="L31" s="51"/>
      <c r="M31" s="51"/>
      <c r="Q31" s="26"/>
    </row>
    <row r="32" spans="2:24" ht="24.75" customHeight="1">
      <c r="C32" s="48"/>
      <c r="D32" s="49"/>
      <c r="E32" s="49"/>
      <c r="F32" s="49"/>
      <c r="G32" s="49"/>
      <c r="H32" s="49"/>
      <c r="I32" s="49"/>
      <c r="J32" s="50"/>
      <c r="K32" s="51"/>
      <c r="L32" s="51"/>
      <c r="M32" s="51"/>
      <c r="Q32" s="26"/>
    </row>
    <row r="33" spans="3:20" ht="24.75" customHeight="1">
      <c r="C33" s="48"/>
      <c r="D33" s="49"/>
      <c r="E33" s="49"/>
      <c r="F33" s="49"/>
      <c r="G33" s="49"/>
      <c r="H33" s="49"/>
      <c r="I33" s="49"/>
      <c r="J33" s="50"/>
      <c r="K33" s="51"/>
      <c r="L33" s="51"/>
      <c r="M33" s="51"/>
      <c r="Q33" s="26"/>
    </row>
    <row r="34" spans="3:20" ht="24.75" customHeight="1">
      <c r="C34" s="48"/>
      <c r="D34" s="49"/>
      <c r="E34" s="49"/>
      <c r="F34" s="49"/>
      <c r="G34" s="49"/>
      <c r="H34" s="49"/>
      <c r="I34" s="49"/>
      <c r="J34" s="50"/>
      <c r="K34" s="51"/>
      <c r="L34" s="51"/>
      <c r="M34" s="51"/>
      <c r="Q34" s="26"/>
    </row>
    <row r="35" spans="3:20" ht="24.75" customHeight="1">
      <c r="C35" s="48"/>
      <c r="J35" s="50"/>
      <c r="K35" s="51"/>
      <c r="L35" s="51"/>
      <c r="M35" s="51"/>
      <c r="Q35" s="26"/>
    </row>
    <row r="36" spans="3:20" ht="24.75" customHeight="1">
      <c r="C36" s="48"/>
      <c r="D36" s="49"/>
      <c r="E36" s="49"/>
      <c r="F36" s="49"/>
      <c r="G36" s="49"/>
      <c r="H36" s="49"/>
      <c r="I36" s="49"/>
      <c r="J36" s="50"/>
      <c r="K36" s="51"/>
      <c r="L36" s="51"/>
      <c r="M36" s="51"/>
      <c r="Q36" s="26"/>
    </row>
    <row r="37" spans="3:20" ht="24.75" customHeight="1">
      <c r="C37" s="48"/>
      <c r="D37" s="49"/>
      <c r="E37" s="49"/>
      <c r="F37" s="49"/>
      <c r="G37" s="49"/>
      <c r="H37" s="49"/>
      <c r="I37" s="49"/>
      <c r="J37" s="50"/>
      <c r="K37" s="51"/>
      <c r="L37" s="51"/>
      <c r="M37" s="51"/>
      <c r="Q37" s="52"/>
    </row>
    <row r="38" spans="3:20" ht="24.75" customHeight="1">
      <c r="C38" s="48"/>
      <c r="D38" s="49"/>
      <c r="E38" s="49"/>
      <c r="F38" s="49"/>
      <c r="G38" s="49"/>
      <c r="H38" s="49"/>
      <c r="I38" s="49"/>
      <c r="J38" s="50"/>
      <c r="K38" s="51"/>
      <c r="L38" s="51"/>
      <c r="M38" s="51"/>
      <c r="Q38" s="39"/>
      <c r="R38"/>
      <c r="S38"/>
      <c r="T38"/>
    </row>
    <row r="39" spans="3:20" ht="24.75" customHeight="1">
      <c r="C39" s="48"/>
      <c r="D39" s="49"/>
      <c r="E39" s="49"/>
      <c r="F39" s="49"/>
      <c r="G39" s="49"/>
      <c r="H39" s="49"/>
      <c r="I39" s="49"/>
      <c r="J39" s="50"/>
      <c r="K39" s="51"/>
      <c r="L39" s="51"/>
      <c r="M39" s="51"/>
      <c r="Q39" s="39"/>
      <c r="R39"/>
      <c r="S39"/>
      <c r="T39"/>
    </row>
    <row r="40" spans="3:20" ht="24.75" customHeight="1">
      <c r="C40" s="48"/>
      <c r="D40" s="49"/>
      <c r="E40" s="49"/>
      <c r="F40" s="49"/>
      <c r="G40" s="49"/>
      <c r="H40" s="49"/>
      <c r="I40" s="49"/>
      <c r="J40" s="50"/>
      <c r="K40" s="51"/>
      <c r="L40" s="51"/>
      <c r="M40" s="51"/>
      <c r="Q40" s="39"/>
      <c r="R40"/>
      <c r="S40"/>
      <c r="T40"/>
    </row>
    <row r="41" spans="3:20" ht="24.75" customHeight="1">
      <c r="C41" s="48"/>
      <c r="D41" s="49"/>
      <c r="E41" s="49"/>
      <c r="F41" s="49"/>
      <c r="G41" s="49"/>
      <c r="H41" s="49"/>
      <c r="I41" s="49"/>
      <c r="J41" s="50"/>
      <c r="K41" s="51"/>
      <c r="L41" s="51"/>
      <c r="M41" s="51"/>
      <c r="R41"/>
      <c r="S41"/>
      <c r="T41"/>
    </row>
    <row r="42" spans="3:20" ht="24.75" customHeight="1">
      <c r="C42" s="48"/>
      <c r="D42" s="49"/>
      <c r="E42" s="49"/>
      <c r="F42" s="49"/>
      <c r="G42" s="49"/>
      <c r="H42" s="49"/>
      <c r="I42" s="49"/>
      <c r="J42" s="50"/>
      <c r="K42" s="51"/>
      <c r="L42" s="51"/>
      <c r="M42" s="51"/>
      <c r="R42"/>
      <c r="S42"/>
      <c r="T42"/>
    </row>
    <row r="43" spans="3:20" ht="24.75" customHeight="1">
      <c r="C43" s="48"/>
      <c r="D43" s="49"/>
      <c r="E43" s="49"/>
      <c r="F43" s="49"/>
      <c r="G43" s="49"/>
      <c r="H43" s="49"/>
      <c r="I43" s="49"/>
      <c r="J43" s="50"/>
      <c r="K43" s="51"/>
      <c r="L43" s="51"/>
      <c r="M43" s="51"/>
      <c r="R43"/>
      <c r="S43"/>
      <c r="T43"/>
    </row>
    <row r="44" spans="3:20" ht="24.75" customHeight="1">
      <c r="C44" s="48"/>
      <c r="D44" s="49"/>
      <c r="E44" s="49"/>
      <c r="F44" s="49"/>
      <c r="G44" s="49"/>
      <c r="H44" s="49"/>
      <c r="I44" s="49"/>
      <c r="J44" s="50"/>
      <c r="K44" s="51"/>
      <c r="L44" s="51"/>
      <c r="M44" s="51"/>
      <c r="R44"/>
      <c r="S44"/>
      <c r="T44"/>
    </row>
    <row r="45" spans="3:20" ht="24.75" customHeight="1">
      <c r="C45" s="48"/>
      <c r="D45" s="49"/>
      <c r="E45" s="49"/>
      <c r="F45" s="49"/>
      <c r="G45" s="49"/>
      <c r="H45" s="49"/>
      <c r="I45" s="49"/>
      <c r="J45" s="50"/>
      <c r="K45" s="51"/>
      <c r="L45" s="51"/>
      <c r="M45" s="51"/>
      <c r="R45"/>
      <c r="S45"/>
      <c r="T45"/>
    </row>
    <row r="46" spans="3:20" ht="24.75" customHeight="1">
      <c r="C46" s="48"/>
      <c r="D46" s="49"/>
      <c r="E46" s="49"/>
      <c r="F46" s="49"/>
      <c r="G46" s="49"/>
      <c r="H46" s="49"/>
      <c r="I46" s="49"/>
      <c r="J46" s="50"/>
      <c r="K46" s="51"/>
      <c r="L46" s="51"/>
      <c r="M46" s="51"/>
      <c r="R46"/>
      <c r="S46"/>
      <c r="T46"/>
    </row>
    <row r="47" spans="3:20" ht="24.75" customHeight="1">
      <c r="C47" s="48"/>
      <c r="D47" s="49"/>
      <c r="E47" s="49"/>
      <c r="F47" s="49"/>
      <c r="G47" s="49"/>
      <c r="H47" s="49"/>
      <c r="I47" s="49"/>
      <c r="J47" s="50"/>
      <c r="K47" s="51"/>
      <c r="L47" s="51"/>
      <c r="M47" s="51"/>
      <c r="R47"/>
      <c r="S47"/>
      <c r="T47"/>
    </row>
    <row r="48" spans="3:20" ht="24.75" customHeight="1">
      <c r="C48" s="48"/>
      <c r="D48" s="49"/>
      <c r="E48" s="49"/>
      <c r="F48" s="49"/>
      <c r="G48" s="49"/>
      <c r="H48" s="49"/>
      <c r="I48" s="49"/>
      <c r="J48" s="50"/>
      <c r="K48" s="51"/>
      <c r="L48" s="51"/>
      <c r="M48" s="51"/>
      <c r="R48"/>
      <c r="S48"/>
      <c r="T48"/>
    </row>
    <row r="49" spans="3:20" ht="24.75" customHeight="1">
      <c r="C49" s="48"/>
      <c r="D49" s="49"/>
      <c r="E49" s="49"/>
      <c r="F49" s="49"/>
      <c r="G49" s="49"/>
      <c r="H49" s="49"/>
      <c r="I49" s="49"/>
      <c r="J49" s="50"/>
      <c r="K49" s="51"/>
      <c r="L49" s="51"/>
      <c r="M49" s="51"/>
      <c r="R49"/>
      <c r="S49"/>
      <c r="T49"/>
    </row>
    <row r="50" spans="3:20" ht="24.75" customHeight="1">
      <c r="C50" s="48"/>
      <c r="D50" s="49"/>
      <c r="E50" s="49"/>
      <c r="F50" s="49"/>
      <c r="G50" s="49"/>
      <c r="H50" s="49"/>
      <c r="I50" s="49"/>
      <c r="J50" s="50"/>
      <c r="K50" s="51"/>
      <c r="L50" s="51"/>
      <c r="M50" s="51"/>
      <c r="R50"/>
      <c r="S50"/>
      <c r="T50"/>
    </row>
    <row r="51" spans="3:20" ht="24.75" customHeight="1">
      <c r="C51" s="48"/>
      <c r="D51" s="49"/>
      <c r="E51" s="49"/>
      <c r="F51" s="49"/>
      <c r="G51" s="49"/>
      <c r="H51" s="49"/>
      <c r="I51" s="49"/>
      <c r="J51" s="50"/>
      <c r="K51" s="51"/>
      <c r="L51" s="51"/>
      <c r="M51" s="51"/>
      <c r="R51"/>
      <c r="S51"/>
      <c r="T51"/>
    </row>
    <row r="52" spans="3:20" ht="24.75" customHeight="1">
      <c r="C52" s="48"/>
      <c r="D52" s="49"/>
      <c r="E52" s="49"/>
      <c r="F52" s="49"/>
      <c r="G52" s="49"/>
      <c r="H52" s="49"/>
      <c r="I52" s="49"/>
      <c r="J52" s="50"/>
      <c r="K52" s="51"/>
      <c r="L52" s="51"/>
      <c r="M52" s="51"/>
      <c r="R52"/>
      <c r="S52"/>
      <c r="T52"/>
    </row>
    <row r="53" spans="3:20" ht="24.75" customHeight="1">
      <c r="C53" s="48"/>
      <c r="D53" s="49"/>
      <c r="E53" s="49"/>
      <c r="F53" s="49"/>
      <c r="G53" s="49"/>
      <c r="H53" s="49"/>
      <c r="I53" s="49"/>
      <c r="J53" s="50"/>
      <c r="K53" s="51"/>
      <c r="L53" s="51"/>
      <c r="M53" s="51"/>
      <c r="R53"/>
      <c r="S53"/>
      <c r="T53"/>
    </row>
    <row r="54" spans="3:20" ht="24.75" customHeight="1">
      <c r="C54" s="48"/>
      <c r="D54" s="49"/>
      <c r="E54" s="49"/>
      <c r="F54" s="49"/>
      <c r="G54" s="49"/>
      <c r="H54" s="49"/>
      <c r="I54" s="49"/>
      <c r="J54" s="50"/>
      <c r="K54" s="51"/>
      <c r="L54" s="51"/>
      <c r="M54" s="51"/>
      <c r="N54"/>
      <c r="O54"/>
      <c r="P54"/>
      <c r="R54"/>
      <c r="S54"/>
      <c r="T54"/>
    </row>
    <row r="55" spans="3:20" ht="24.75" customHeight="1">
      <c r="C55" s="48"/>
      <c r="D55" s="49"/>
      <c r="E55" s="49"/>
      <c r="F55" s="49"/>
      <c r="G55" s="49"/>
      <c r="H55" s="49"/>
      <c r="I55" s="49"/>
      <c r="J55" s="50"/>
      <c r="K55" s="51"/>
      <c r="L55" s="51"/>
      <c r="M55" s="51"/>
      <c r="N55"/>
      <c r="O55"/>
      <c r="P55"/>
      <c r="R55"/>
      <c r="S55"/>
      <c r="T55"/>
    </row>
    <row r="56" spans="3:20" ht="24.75" customHeight="1">
      <c r="C56" s="48"/>
      <c r="D56" s="49"/>
      <c r="E56" s="49"/>
      <c r="F56" s="49"/>
      <c r="G56" s="49"/>
      <c r="H56" s="49"/>
      <c r="I56" s="49"/>
      <c r="J56" s="50"/>
      <c r="K56" s="51"/>
      <c r="L56" s="51"/>
      <c r="M56" s="51"/>
      <c r="N56"/>
      <c r="O56"/>
      <c r="P56"/>
      <c r="R56"/>
      <c r="S56"/>
      <c r="T56"/>
    </row>
    <row r="57" spans="3:20" ht="24.75" customHeight="1">
      <c r="C57" s="48"/>
      <c r="D57" s="49"/>
      <c r="E57" s="49"/>
      <c r="F57" s="49"/>
      <c r="G57" s="49"/>
      <c r="H57" s="49"/>
      <c r="I57" s="49"/>
      <c r="J57" s="50"/>
      <c r="K57" s="51"/>
      <c r="L57" s="51"/>
      <c r="M57" s="51"/>
      <c r="N57"/>
      <c r="O57"/>
      <c r="P57"/>
      <c r="R57"/>
      <c r="S57"/>
      <c r="T57"/>
    </row>
    <row r="58" spans="3:20" ht="24.75" customHeight="1">
      <c r="C58" s="48"/>
      <c r="D58" s="49"/>
      <c r="E58" s="49"/>
      <c r="F58" s="49"/>
      <c r="G58" s="49"/>
      <c r="H58" s="49"/>
      <c r="I58" s="49"/>
      <c r="J58" s="50"/>
      <c r="K58" s="51"/>
      <c r="L58" s="51"/>
      <c r="M58" s="51"/>
      <c r="N58"/>
      <c r="O58"/>
      <c r="P58"/>
      <c r="R58"/>
      <c r="S58"/>
      <c r="T58"/>
    </row>
    <row r="59" spans="3:20" ht="24.75" customHeight="1">
      <c r="C59" s="48"/>
      <c r="D59" s="49"/>
      <c r="E59" s="49"/>
      <c r="F59" s="49"/>
      <c r="G59" s="49"/>
      <c r="H59" s="49"/>
      <c r="I59" s="49"/>
      <c r="J59" s="50"/>
      <c r="K59" s="51"/>
      <c r="L59" s="51"/>
      <c r="M59" s="51"/>
      <c r="N59"/>
      <c r="O59"/>
      <c r="P59"/>
      <c r="R59"/>
      <c r="S59"/>
      <c r="T59"/>
    </row>
    <row r="60" spans="3:20" ht="24.75" customHeight="1">
      <c r="C60" s="48"/>
      <c r="D60" s="49"/>
      <c r="E60" s="49"/>
      <c r="F60" s="49"/>
      <c r="G60" s="49"/>
      <c r="H60" s="49"/>
      <c r="I60" s="49"/>
      <c r="J60" s="50"/>
      <c r="K60" s="51"/>
      <c r="L60" s="51"/>
      <c r="M60" s="51"/>
      <c r="N60"/>
      <c r="O60"/>
      <c r="P60"/>
      <c r="R60"/>
      <c r="S60"/>
      <c r="T60"/>
    </row>
    <row r="61" spans="3:20" ht="24.75" customHeight="1">
      <c r="C61" s="48"/>
      <c r="D61" s="49"/>
      <c r="E61" s="49"/>
      <c r="F61" s="49"/>
      <c r="G61" s="49"/>
      <c r="H61" s="49"/>
      <c r="I61" s="49"/>
      <c r="J61" s="50"/>
      <c r="K61" s="51"/>
      <c r="L61" s="51"/>
      <c r="M61" s="51"/>
      <c r="N61"/>
      <c r="O61"/>
      <c r="P61"/>
      <c r="R61"/>
      <c r="S61"/>
      <c r="T61"/>
    </row>
    <row r="62" spans="3:20" ht="24.75" customHeight="1">
      <c r="C62" s="48"/>
      <c r="D62" s="49"/>
      <c r="E62" s="49"/>
      <c r="F62" s="49"/>
      <c r="G62" s="49"/>
      <c r="H62" s="49"/>
      <c r="I62" s="49"/>
      <c r="J62" s="50"/>
      <c r="K62" s="51"/>
      <c r="L62" s="51"/>
      <c r="M62" s="51"/>
      <c r="N62"/>
      <c r="O62"/>
      <c r="P62"/>
      <c r="R62"/>
      <c r="S62"/>
      <c r="T62"/>
    </row>
    <row r="63" spans="3:20" ht="24.75" customHeight="1">
      <c r="C63" s="48"/>
      <c r="D63" s="49"/>
      <c r="E63" s="49"/>
      <c r="F63" s="49"/>
      <c r="G63" s="49"/>
      <c r="H63" s="49"/>
      <c r="I63" s="49"/>
      <c r="J63" s="50"/>
      <c r="K63" s="51"/>
      <c r="L63" s="51"/>
      <c r="M63" s="51"/>
      <c r="N63"/>
      <c r="O63"/>
      <c r="P63"/>
      <c r="R63"/>
      <c r="S63"/>
      <c r="T63"/>
    </row>
    <row r="64" spans="3:20" ht="24.75" customHeight="1">
      <c r="C64" s="48"/>
      <c r="D64" s="49"/>
      <c r="E64" s="49"/>
      <c r="F64" s="49"/>
      <c r="G64" s="49"/>
      <c r="H64" s="49"/>
      <c r="I64" s="49"/>
      <c r="J64" s="50"/>
      <c r="K64" s="51"/>
      <c r="L64" s="51"/>
      <c r="M64" s="51"/>
      <c r="N64"/>
      <c r="O64"/>
      <c r="P64"/>
      <c r="R64"/>
      <c r="S64"/>
      <c r="T64"/>
    </row>
    <row r="65" spans="3:20" ht="24.75" customHeight="1">
      <c r="C65" s="48"/>
      <c r="D65" s="49"/>
      <c r="E65" s="49"/>
      <c r="F65" s="49"/>
      <c r="G65" s="49"/>
      <c r="H65" s="49"/>
      <c r="I65" s="49"/>
      <c r="J65" s="50"/>
      <c r="K65" s="51"/>
      <c r="L65" s="51"/>
      <c r="M65" s="51"/>
      <c r="N65"/>
      <c r="O65"/>
      <c r="P65"/>
      <c r="R65"/>
      <c r="S65"/>
      <c r="T65"/>
    </row>
    <row r="66" spans="3:20" ht="24.75" customHeight="1">
      <c r="C66" s="48"/>
      <c r="D66" s="49"/>
      <c r="E66" s="49"/>
      <c r="F66" s="49"/>
      <c r="G66" s="49"/>
      <c r="H66" s="49"/>
      <c r="I66" s="49"/>
      <c r="J66" s="50"/>
      <c r="K66" s="51"/>
      <c r="L66" s="51"/>
      <c r="M66" s="51"/>
      <c r="N66"/>
      <c r="O66"/>
      <c r="P66"/>
      <c r="R66"/>
      <c r="S66"/>
      <c r="T66"/>
    </row>
    <row r="67" spans="3:20" ht="24.75" customHeight="1">
      <c r="C67" s="48"/>
      <c r="D67" s="49"/>
      <c r="E67" s="49"/>
      <c r="F67" s="49"/>
      <c r="G67" s="49"/>
      <c r="H67" s="49"/>
      <c r="I67" s="49"/>
      <c r="J67" s="50"/>
      <c r="K67" s="51"/>
      <c r="L67" s="51"/>
      <c r="M67" s="51"/>
      <c r="N67"/>
      <c r="O67"/>
      <c r="P67"/>
      <c r="R67"/>
      <c r="S67"/>
      <c r="T67"/>
    </row>
    <row r="68" spans="3:20" ht="24.75" customHeight="1">
      <c r="C68" s="48"/>
      <c r="D68" s="49"/>
      <c r="E68" s="49"/>
      <c r="F68" s="49"/>
      <c r="G68" s="49"/>
      <c r="H68" s="49"/>
      <c r="I68" s="49"/>
      <c r="J68" s="50"/>
      <c r="K68" s="51"/>
      <c r="L68" s="51"/>
      <c r="M68" s="51"/>
      <c r="N68"/>
      <c r="O68"/>
      <c r="P68"/>
      <c r="R68"/>
      <c r="S68"/>
      <c r="T68"/>
    </row>
    <row r="69" spans="3:20" ht="24.75" customHeight="1">
      <c r="C69" s="48"/>
      <c r="D69" s="49"/>
      <c r="E69" s="49"/>
      <c r="F69" s="49"/>
      <c r="G69" s="49"/>
      <c r="H69" s="49"/>
      <c r="I69" s="49"/>
      <c r="J69" s="50"/>
      <c r="K69" s="51"/>
      <c r="L69" s="51"/>
      <c r="M69" s="51"/>
      <c r="N69"/>
      <c r="O69"/>
      <c r="P69"/>
      <c r="R69"/>
      <c r="S69"/>
      <c r="T69"/>
    </row>
    <row r="70" spans="3:20" ht="24.75" customHeight="1">
      <c r="C70" s="48"/>
      <c r="D70" s="49"/>
      <c r="E70" s="49"/>
      <c r="F70" s="49"/>
      <c r="G70" s="49"/>
      <c r="H70" s="49"/>
      <c r="I70" s="49"/>
      <c r="J70" s="50"/>
      <c r="K70" s="51"/>
      <c r="L70" s="51"/>
      <c r="M70" s="51"/>
      <c r="N70"/>
      <c r="O70"/>
      <c r="P70"/>
      <c r="R70"/>
      <c r="S70"/>
      <c r="T70"/>
    </row>
    <row r="71" spans="3:20" ht="24.75" customHeight="1">
      <c r="C71" s="48"/>
      <c r="D71" s="49"/>
      <c r="E71" s="49"/>
      <c r="F71" s="49"/>
      <c r="G71" s="49"/>
      <c r="H71" s="49"/>
      <c r="I71" s="49"/>
      <c r="J71" s="50"/>
      <c r="K71" s="51"/>
      <c r="L71" s="51"/>
      <c r="M71" s="51"/>
      <c r="N71"/>
      <c r="O71"/>
      <c r="P71"/>
      <c r="R71"/>
      <c r="S71"/>
      <c r="T71"/>
    </row>
    <row r="72" spans="3:20" ht="24.75" customHeight="1">
      <c r="C72" s="48"/>
      <c r="D72" s="49"/>
      <c r="E72" s="49"/>
      <c r="F72" s="49"/>
      <c r="G72" s="49"/>
      <c r="H72" s="49"/>
      <c r="I72" s="49"/>
      <c r="J72" s="50"/>
      <c r="K72" s="51"/>
      <c r="L72" s="51"/>
      <c r="M72" s="51"/>
      <c r="N72"/>
      <c r="O72"/>
      <c r="P72"/>
      <c r="R72"/>
      <c r="S72"/>
      <c r="T72"/>
    </row>
    <row r="73" spans="3:20" ht="24.75" customHeight="1">
      <c r="C73" s="48"/>
      <c r="D73" s="49"/>
      <c r="E73" s="49"/>
      <c r="F73" s="49"/>
      <c r="G73" s="49"/>
      <c r="H73" s="49"/>
      <c r="I73" s="49"/>
      <c r="J73" s="50"/>
      <c r="K73" s="51"/>
      <c r="L73" s="51"/>
      <c r="M73" s="51"/>
      <c r="N73"/>
      <c r="O73"/>
      <c r="P73"/>
      <c r="R73"/>
      <c r="S73"/>
      <c r="T73"/>
    </row>
    <row r="74" spans="3:20" ht="24.75" customHeight="1">
      <c r="C74" s="48"/>
      <c r="D74" s="49"/>
      <c r="E74" s="49"/>
      <c r="F74" s="49"/>
      <c r="G74" s="49"/>
      <c r="H74" s="49"/>
      <c r="I74" s="49"/>
      <c r="J74" s="50"/>
      <c r="K74" s="51"/>
      <c r="L74" s="51"/>
      <c r="M74" s="51"/>
      <c r="N74"/>
      <c r="O74"/>
      <c r="P74"/>
      <c r="R74"/>
      <c r="S74"/>
      <c r="T74"/>
    </row>
    <row r="75" spans="3:20" ht="24.75" customHeight="1">
      <c r="C75" s="48"/>
      <c r="D75" s="49"/>
      <c r="E75" s="49"/>
      <c r="F75" s="49"/>
      <c r="G75" s="49"/>
      <c r="H75" s="49"/>
      <c r="I75" s="49"/>
      <c r="J75" s="50"/>
      <c r="K75" s="51"/>
      <c r="L75" s="51"/>
      <c r="M75" s="51"/>
      <c r="N75"/>
      <c r="O75"/>
      <c r="P75"/>
      <c r="R75"/>
      <c r="S75"/>
      <c r="T75"/>
    </row>
    <row r="76" spans="3:20" ht="24.75" customHeight="1">
      <c r="C76" s="48"/>
      <c r="D76" s="49"/>
      <c r="E76" s="49"/>
      <c r="F76" s="49"/>
      <c r="G76" s="49"/>
      <c r="H76" s="49"/>
      <c r="I76" s="49"/>
      <c r="J76" s="50"/>
      <c r="K76" s="51"/>
      <c r="L76" s="51"/>
      <c r="M76" s="51"/>
      <c r="N76"/>
      <c r="O76"/>
      <c r="P76"/>
      <c r="R76"/>
      <c r="S76"/>
      <c r="T76"/>
    </row>
    <row r="77" spans="3:20" ht="24.75" customHeight="1">
      <c r="C77" s="48"/>
      <c r="D77" s="49"/>
      <c r="E77" s="49"/>
      <c r="F77" s="49"/>
      <c r="G77" s="49"/>
      <c r="H77" s="49"/>
      <c r="I77" s="49"/>
      <c r="J77" s="50"/>
      <c r="K77" s="51"/>
      <c r="L77" s="51"/>
      <c r="M77" s="51"/>
      <c r="N77"/>
      <c r="O77"/>
      <c r="P77"/>
      <c r="R77"/>
      <c r="S77"/>
      <c r="T77"/>
    </row>
    <row r="78" spans="3:20" ht="24.75" customHeight="1">
      <c r="C78" s="48"/>
      <c r="D78" s="49"/>
      <c r="E78" s="49"/>
      <c r="F78" s="49"/>
      <c r="G78" s="49"/>
      <c r="H78" s="49"/>
      <c r="I78" s="49"/>
      <c r="J78" s="50"/>
      <c r="K78" s="51"/>
      <c r="L78" s="51"/>
      <c r="M78" s="51"/>
      <c r="N78"/>
      <c r="O78"/>
      <c r="P78"/>
      <c r="R78"/>
      <c r="S78"/>
      <c r="T78"/>
    </row>
    <row r="79" spans="3:20" ht="24.75" customHeight="1">
      <c r="C79" s="48"/>
      <c r="D79" s="49"/>
      <c r="E79" s="49"/>
      <c r="F79" s="49"/>
      <c r="G79" s="49"/>
      <c r="H79" s="49"/>
      <c r="I79" s="49"/>
      <c r="J79" s="50"/>
      <c r="K79" s="51"/>
      <c r="L79" s="51"/>
      <c r="M79" s="51"/>
      <c r="N79"/>
      <c r="O79"/>
      <c r="P79"/>
      <c r="R79"/>
      <c r="S79"/>
      <c r="T79"/>
    </row>
    <row r="80" spans="3:20" ht="24.75" customHeight="1">
      <c r="C80" s="48"/>
      <c r="D80" s="49"/>
      <c r="E80" s="49"/>
      <c r="F80" s="49"/>
      <c r="G80" s="49"/>
      <c r="H80" s="49"/>
      <c r="I80" s="49"/>
      <c r="J80" s="50"/>
      <c r="K80" s="51"/>
      <c r="L80" s="51"/>
      <c r="M80" s="51"/>
      <c r="N80"/>
      <c r="O80"/>
      <c r="P80"/>
      <c r="R80"/>
      <c r="S80"/>
      <c r="T80"/>
    </row>
    <row r="81" spans="3:20" ht="24.75" customHeight="1">
      <c r="C81" s="48"/>
      <c r="D81" s="49"/>
      <c r="E81" s="49"/>
      <c r="F81" s="49"/>
      <c r="G81" s="49"/>
      <c r="H81" s="49"/>
      <c r="I81" s="49"/>
      <c r="J81" s="50"/>
      <c r="K81" s="51"/>
      <c r="L81" s="51"/>
      <c r="M81" s="51"/>
      <c r="N81"/>
      <c r="O81"/>
      <c r="P81"/>
      <c r="R81"/>
      <c r="S81"/>
      <c r="T81"/>
    </row>
    <row r="82" spans="3:20" ht="24.75" customHeight="1">
      <c r="C82" s="48"/>
      <c r="D82" s="49"/>
      <c r="E82" s="49"/>
      <c r="F82" s="49"/>
      <c r="G82" s="49"/>
      <c r="H82" s="49"/>
      <c r="I82" s="49"/>
      <c r="J82" s="50"/>
      <c r="K82" s="51"/>
      <c r="L82" s="51"/>
      <c r="M82" s="51"/>
      <c r="N82"/>
      <c r="O82"/>
      <c r="P82"/>
      <c r="R82"/>
      <c r="S82"/>
      <c r="T82"/>
    </row>
    <row r="83" spans="3:20" ht="24.75" customHeight="1">
      <c r="C83" s="48"/>
      <c r="D83" s="49"/>
      <c r="E83" s="49"/>
      <c r="F83" s="49"/>
      <c r="G83" s="49"/>
      <c r="H83" s="49"/>
      <c r="I83" s="49"/>
      <c r="J83" s="50"/>
      <c r="K83" s="51"/>
      <c r="L83" s="51"/>
      <c r="M83" s="51"/>
      <c r="N83"/>
      <c r="O83"/>
      <c r="P83"/>
      <c r="R83"/>
      <c r="S83"/>
      <c r="T83"/>
    </row>
    <row r="84" spans="3:20" ht="24.75" customHeight="1">
      <c r="C84" s="48"/>
      <c r="D84" s="49"/>
      <c r="E84" s="49"/>
      <c r="F84" s="49"/>
      <c r="G84" s="49"/>
      <c r="H84" s="49"/>
      <c r="I84" s="49"/>
      <c r="J84" s="50"/>
      <c r="K84" s="51"/>
      <c r="L84" s="51"/>
      <c r="M84" s="51"/>
      <c r="N84"/>
      <c r="O84"/>
      <c r="P84"/>
      <c r="R84"/>
      <c r="S84"/>
      <c r="T84"/>
    </row>
    <row r="85" spans="3:20" ht="24.75" customHeight="1">
      <c r="C85" s="48"/>
      <c r="D85" s="49"/>
      <c r="E85" s="49"/>
      <c r="F85" s="49"/>
      <c r="G85" s="49"/>
      <c r="H85" s="49"/>
      <c r="I85" s="49"/>
      <c r="J85" s="50"/>
      <c r="K85" s="51"/>
      <c r="L85" s="51"/>
      <c r="M85" s="51"/>
      <c r="N85"/>
      <c r="O85"/>
      <c r="P85"/>
      <c r="R85"/>
      <c r="S85"/>
      <c r="T85"/>
    </row>
    <row r="86" spans="3:20" ht="24.75" customHeight="1">
      <c r="C86" s="48"/>
      <c r="D86" s="49"/>
      <c r="E86" s="49"/>
      <c r="F86" s="49"/>
      <c r="G86" s="49"/>
      <c r="H86" s="49"/>
      <c r="I86" s="49"/>
      <c r="J86" s="50"/>
      <c r="K86" s="51"/>
      <c r="L86" s="51"/>
      <c r="M86" s="51"/>
      <c r="N86"/>
      <c r="O86"/>
      <c r="P86"/>
      <c r="R86"/>
      <c r="S86"/>
      <c r="T86"/>
    </row>
    <row r="87" spans="3:20" ht="24.75" customHeight="1">
      <c r="C87" s="48"/>
      <c r="D87" s="49"/>
      <c r="E87" s="49"/>
      <c r="F87" s="49"/>
      <c r="G87" s="49"/>
      <c r="H87" s="49"/>
      <c r="I87" s="49"/>
      <c r="J87" s="50"/>
      <c r="K87" s="51"/>
      <c r="L87" s="51"/>
      <c r="M87" s="51"/>
      <c r="N87"/>
      <c r="O87"/>
      <c r="P87"/>
      <c r="R87"/>
      <c r="S87"/>
      <c r="T87"/>
    </row>
    <row r="88" spans="3:20" ht="24.75" customHeight="1">
      <c r="C88" s="48"/>
      <c r="D88" s="49"/>
      <c r="E88" s="49"/>
      <c r="F88" s="49"/>
      <c r="G88" s="49"/>
      <c r="H88" s="49"/>
      <c r="I88" s="49"/>
      <c r="J88" s="50"/>
      <c r="K88" s="51"/>
      <c r="L88" s="51"/>
      <c r="M88" s="51"/>
      <c r="N88"/>
      <c r="O88"/>
      <c r="P88"/>
      <c r="R88"/>
      <c r="S88"/>
      <c r="T88"/>
    </row>
    <row r="89" spans="3:20" ht="24.75" customHeight="1">
      <c r="C89" s="48"/>
      <c r="D89" s="49"/>
      <c r="E89" s="49"/>
      <c r="F89" s="49"/>
      <c r="G89" s="49"/>
      <c r="H89" s="49"/>
      <c r="I89" s="49"/>
      <c r="J89" s="50"/>
      <c r="K89" s="51"/>
      <c r="L89" s="51"/>
      <c r="M89" s="51"/>
      <c r="N89"/>
      <c r="O89"/>
      <c r="P89"/>
      <c r="R89"/>
      <c r="S89"/>
      <c r="T89"/>
    </row>
    <row r="90" spans="3:20" ht="24.75" customHeight="1">
      <c r="C90" s="48"/>
      <c r="D90" s="49"/>
      <c r="E90" s="49"/>
      <c r="F90" s="49"/>
      <c r="G90" s="49"/>
      <c r="H90" s="49"/>
      <c r="I90" s="49"/>
      <c r="J90" s="50"/>
      <c r="K90" s="51"/>
      <c r="L90" s="51"/>
      <c r="M90" s="51"/>
      <c r="N90"/>
      <c r="O90"/>
      <c r="P90"/>
      <c r="R90"/>
      <c r="S90"/>
      <c r="T90"/>
    </row>
    <row r="91" spans="3:20" ht="24.75" customHeight="1">
      <c r="C91" s="48"/>
      <c r="D91" s="49"/>
      <c r="E91" s="49"/>
      <c r="F91" s="49"/>
      <c r="G91" s="49"/>
      <c r="H91" s="49"/>
      <c r="I91" s="49"/>
      <c r="J91" s="50"/>
      <c r="K91" s="51"/>
      <c r="L91" s="51"/>
      <c r="M91" s="51"/>
      <c r="N91"/>
      <c r="O91"/>
      <c r="P91"/>
      <c r="R91"/>
      <c r="S91"/>
      <c r="T91"/>
    </row>
    <row r="92" spans="3:20" ht="24.75" customHeight="1">
      <c r="C92" s="48"/>
      <c r="D92" s="49"/>
      <c r="E92" s="49"/>
      <c r="F92" s="49"/>
      <c r="G92" s="49"/>
      <c r="H92" s="49"/>
      <c r="I92" s="49"/>
      <c r="J92" s="50"/>
      <c r="K92" s="51"/>
      <c r="L92" s="51"/>
      <c r="M92" s="51"/>
      <c r="N92"/>
      <c r="O92"/>
      <c r="P92"/>
      <c r="R92"/>
      <c r="S92"/>
      <c r="T92"/>
    </row>
    <row r="93" spans="3:20" ht="24.75" customHeight="1">
      <c r="C93" s="48"/>
      <c r="D93" s="49"/>
      <c r="E93" s="49"/>
      <c r="F93" s="49"/>
      <c r="G93" s="49"/>
      <c r="H93" s="49"/>
      <c r="I93" s="49"/>
      <c r="J93" s="50"/>
      <c r="K93" s="51"/>
      <c r="L93" s="51"/>
      <c r="M93" s="51"/>
      <c r="N93"/>
      <c r="O93"/>
      <c r="P93"/>
      <c r="R93"/>
      <c r="S93"/>
      <c r="T93"/>
    </row>
    <row r="94" spans="3:20" ht="24.75" customHeight="1">
      <c r="C94" s="48"/>
      <c r="D94" s="49"/>
      <c r="E94" s="49"/>
      <c r="F94" s="49"/>
      <c r="G94" s="49"/>
      <c r="H94" s="49"/>
      <c r="I94" s="49"/>
      <c r="J94" s="50"/>
      <c r="K94" s="51"/>
      <c r="L94" s="51"/>
      <c r="M94" s="51"/>
      <c r="N94"/>
      <c r="O94"/>
      <c r="P94"/>
      <c r="R94"/>
      <c r="S94"/>
      <c r="T94"/>
    </row>
    <row r="95" spans="3:20" ht="24.75" customHeight="1">
      <c r="C95" s="48"/>
      <c r="D95" s="49"/>
      <c r="E95" s="49"/>
      <c r="F95" s="49"/>
      <c r="G95" s="49"/>
      <c r="H95" s="49"/>
      <c r="I95" s="49"/>
      <c r="J95" s="50"/>
      <c r="K95" s="51"/>
      <c r="L95" s="51"/>
      <c r="M95" s="51"/>
      <c r="N95"/>
      <c r="O95"/>
      <c r="P95"/>
      <c r="R95"/>
      <c r="S95"/>
      <c r="T95"/>
    </row>
    <row r="96" spans="3:20" ht="24.75" customHeight="1">
      <c r="C96" s="48"/>
      <c r="D96" s="49"/>
      <c r="E96" s="49"/>
      <c r="F96" s="49"/>
      <c r="G96" s="49"/>
      <c r="H96" s="49"/>
      <c r="I96" s="49"/>
      <c r="J96" s="50"/>
      <c r="K96" s="51"/>
      <c r="L96" s="51"/>
      <c r="M96" s="51"/>
      <c r="N96"/>
      <c r="O96"/>
      <c r="P96"/>
      <c r="R96"/>
      <c r="S96"/>
      <c r="T96"/>
    </row>
    <row r="97" spans="3:20" ht="24.75" customHeight="1">
      <c r="C97" s="48"/>
      <c r="D97" s="49"/>
      <c r="E97" s="49"/>
      <c r="F97" s="49"/>
      <c r="G97" s="49"/>
      <c r="H97" s="49"/>
      <c r="I97" s="49"/>
      <c r="J97" s="50"/>
      <c r="K97" s="51"/>
      <c r="L97" s="51"/>
      <c r="M97" s="51"/>
      <c r="N97"/>
      <c r="O97"/>
      <c r="P97"/>
      <c r="R97"/>
      <c r="S97"/>
      <c r="T97"/>
    </row>
    <row r="98" spans="3:20" ht="24.75" customHeight="1">
      <c r="C98" s="48"/>
      <c r="D98" s="49"/>
      <c r="E98" s="49"/>
      <c r="F98" s="49"/>
      <c r="G98" s="49"/>
      <c r="H98" s="49"/>
      <c r="I98" s="49"/>
      <c r="J98" s="50"/>
      <c r="K98" s="51"/>
      <c r="L98" s="51"/>
      <c r="M98" s="51"/>
      <c r="N98"/>
      <c r="O98"/>
      <c r="P98"/>
      <c r="R98"/>
      <c r="S98"/>
      <c r="T98"/>
    </row>
    <row r="99" spans="3:20" ht="24.75" customHeight="1">
      <c r="C99" s="48"/>
      <c r="D99" s="49"/>
      <c r="E99" s="49"/>
      <c r="F99" s="49"/>
      <c r="G99" s="49"/>
      <c r="H99" s="49"/>
      <c r="I99" s="49"/>
      <c r="J99" s="50"/>
      <c r="K99" s="51"/>
      <c r="L99" s="51"/>
      <c r="M99" s="51"/>
      <c r="N99"/>
      <c r="O99"/>
      <c r="P99"/>
      <c r="R99"/>
      <c r="S99"/>
      <c r="T99"/>
    </row>
    <row r="100" spans="3:20" ht="24.75" customHeight="1">
      <c r="C100" s="48"/>
      <c r="D100" s="49"/>
      <c r="E100" s="49"/>
      <c r="F100" s="49"/>
      <c r="G100" s="49"/>
      <c r="H100" s="49"/>
      <c r="I100" s="49"/>
      <c r="J100" s="50"/>
      <c r="K100" s="51"/>
      <c r="L100" s="51"/>
      <c r="M100" s="51"/>
      <c r="N100"/>
      <c r="O100"/>
      <c r="P100"/>
      <c r="R100"/>
      <c r="S100"/>
      <c r="T100"/>
    </row>
    <row r="101" spans="3:20" ht="24.75" customHeight="1">
      <c r="C101" s="48"/>
      <c r="D101" s="49"/>
      <c r="E101" s="49"/>
      <c r="F101" s="49"/>
      <c r="G101" s="49"/>
      <c r="H101" s="49"/>
      <c r="I101" s="49"/>
      <c r="J101" s="50"/>
      <c r="K101" s="51"/>
      <c r="L101" s="51"/>
      <c r="M101" s="51"/>
      <c r="N101"/>
      <c r="O101"/>
      <c r="P101"/>
      <c r="R101"/>
      <c r="S101"/>
      <c r="T101"/>
    </row>
    <row r="102" spans="3:20" ht="24.75" customHeight="1">
      <c r="C102" s="48"/>
      <c r="D102" s="49"/>
      <c r="E102" s="49"/>
      <c r="F102" s="49"/>
      <c r="G102" s="49"/>
      <c r="H102" s="49"/>
      <c r="I102" s="49"/>
      <c r="J102" s="50"/>
      <c r="K102" s="51"/>
      <c r="L102" s="51"/>
      <c r="M102" s="51"/>
      <c r="N102"/>
      <c r="O102"/>
      <c r="P102"/>
      <c r="R102"/>
      <c r="S102"/>
      <c r="T102"/>
    </row>
    <row r="103" spans="3:20" ht="24.75" customHeight="1">
      <c r="C103" s="48"/>
      <c r="D103" s="49"/>
      <c r="E103" s="49"/>
      <c r="F103" s="49"/>
      <c r="G103" s="49"/>
      <c r="H103" s="49"/>
      <c r="I103" s="49"/>
      <c r="J103" s="50"/>
      <c r="K103" s="51"/>
      <c r="L103" s="51"/>
      <c r="M103" s="51"/>
      <c r="N103"/>
      <c r="O103"/>
      <c r="P103"/>
      <c r="R103"/>
      <c r="S103"/>
      <c r="T103"/>
    </row>
    <row r="104" spans="3:20" ht="24.75" customHeight="1">
      <c r="C104" s="48"/>
      <c r="D104" s="49"/>
      <c r="E104" s="49"/>
      <c r="F104" s="49"/>
      <c r="G104" s="49"/>
      <c r="H104" s="49"/>
      <c r="I104" s="49"/>
      <c r="J104" s="50"/>
      <c r="K104" s="51"/>
      <c r="L104" s="51"/>
      <c r="M104" s="51"/>
      <c r="N104"/>
      <c r="O104"/>
      <c r="P104"/>
      <c r="R104"/>
      <c r="S104"/>
      <c r="T104"/>
    </row>
    <row r="105" spans="3:20" ht="24.75" customHeight="1">
      <c r="C105" s="48"/>
      <c r="D105" s="49"/>
      <c r="E105" s="49"/>
      <c r="F105" s="49"/>
      <c r="G105" s="49"/>
      <c r="H105" s="49"/>
      <c r="I105" s="49"/>
      <c r="J105" s="50"/>
      <c r="K105" s="51"/>
      <c r="L105" s="51"/>
      <c r="M105" s="51"/>
      <c r="N105"/>
      <c r="O105"/>
      <c r="P105"/>
      <c r="R105"/>
      <c r="S105"/>
      <c r="T105"/>
    </row>
  </sheetData>
  <sheetProtection password="EFEB" sheet="1" objects="1" scenarios="1"/>
  <mergeCells count="6">
    <mergeCell ref="B2:T2"/>
    <mergeCell ref="K4:M4"/>
    <mergeCell ref="D25:L25"/>
    <mergeCell ref="D27:L27"/>
    <mergeCell ref="N3:P3"/>
    <mergeCell ref="R3:T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RESUMO GERAL</vt:lpstr>
      <vt:lpstr>JAN-19</vt:lpstr>
      <vt:lpstr>FEV-19</vt:lpstr>
      <vt:lpstr>MAR-19</vt:lpstr>
      <vt:lpstr>ABR-19</vt:lpstr>
      <vt:lpstr>MAI-19</vt:lpstr>
      <vt:lpstr>JUN-19</vt:lpstr>
      <vt:lpstr>JUL-19</vt:lpstr>
      <vt:lpstr>AGO-19</vt:lpstr>
      <vt:lpstr>SET-19</vt:lpstr>
      <vt:lpstr>OUT-19</vt:lpstr>
      <vt:lpstr>NOV-19</vt:lpstr>
      <vt:lpstr>DEZ-19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2020-01-22T14:56:02Z</dcterms:modified>
</cp:coreProperties>
</file>