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EstaPasta_de_trabalho" defaultThemeVersion="124226"/>
  <bookViews>
    <workbookView xWindow="240" yWindow="105" windowWidth="14805" windowHeight="8010"/>
  </bookViews>
  <sheets>
    <sheet name="Resumo Planilha" sheetId="9" r:id="rId1"/>
    <sheet name="JAN-18" sheetId="1" r:id="rId2"/>
    <sheet name="FEV-18" sheetId="2" r:id="rId3"/>
    <sheet name="MAR-18" sheetId="3" r:id="rId4"/>
    <sheet name="ABR-18" sheetId="4" r:id="rId5"/>
    <sheet name="MAI-18" sheetId="5" r:id="rId6"/>
    <sheet name="JUN-18" sheetId="6" r:id="rId7"/>
    <sheet name="JUL-18" sheetId="8" r:id="rId8"/>
    <sheet name="AGO-18" sheetId="7" r:id="rId9"/>
    <sheet name="SET-18" sheetId="10" r:id="rId10"/>
    <sheet name="OUT-18" sheetId="11" r:id="rId11"/>
    <sheet name="NOV-18" sheetId="12" r:id="rId12"/>
    <sheet name="DEZ-18" sheetId="13" r:id="rId13"/>
  </sheets>
  <definedNames>
    <definedName name="_xlnm._FilterDatabase" localSheetId="10" hidden="1">'OUT-18'!$C$4:$R$4</definedName>
  </definedNames>
  <calcPr calcId="145621"/>
</workbook>
</file>

<file path=xl/calcChain.xml><?xml version="1.0" encoding="utf-8"?>
<calcChain xmlns="http://schemas.openxmlformats.org/spreadsheetml/2006/main">
  <c r="G5" i="13" l="1"/>
  <c r="G7" i="13"/>
  <c r="G8" i="13"/>
  <c r="G9" i="13"/>
  <c r="G10" i="13"/>
  <c r="G11" i="13"/>
  <c r="G12" i="13"/>
  <c r="G13" i="13"/>
  <c r="G14" i="13"/>
  <c r="G15" i="13"/>
  <c r="G16" i="13"/>
  <c r="G17" i="13"/>
  <c r="G18" i="13"/>
  <c r="G19" i="13"/>
  <c r="G20" i="13"/>
  <c r="G21" i="13"/>
  <c r="G22" i="13"/>
  <c r="G23" i="13"/>
  <c r="G24" i="13"/>
  <c r="G6" i="13"/>
  <c r="G7" i="12"/>
  <c r="G8" i="12"/>
  <c r="G9" i="12"/>
  <c r="G10" i="12"/>
  <c r="G11" i="12"/>
  <c r="G12" i="12"/>
  <c r="G13" i="12"/>
  <c r="G14" i="12"/>
  <c r="G15" i="12"/>
  <c r="G16" i="12"/>
  <c r="G17" i="12"/>
  <c r="G18" i="12"/>
  <c r="G19" i="12"/>
  <c r="G20" i="12"/>
  <c r="G21" i="12"/>
  <c r="G22" i="12"/>
  <c r="G23" i="12"/>
  <c r="G5" i="12"/>
  <c r="G6" i="12"/>
  <c r="G5" i="11" l="1"/>
  <c r="G7" i="11"/>
  <c r="G8" i="11"/>
  <c r="G9" i="11"/>
  <c r="G10" i="11"/>
  <c r="G11" i="11"/>
  <c r="G12" i="11"/>
  <c r="G13" i="11"/>
  <c r="G14" i="11"/>
  <c r="G15" i="11"/>
  <c r="G16" i="11"/>
  <c r="G17" i="11"/>
  <c r="G18" i="11"/>
  <c r="G19" i="11"/>
  <c r="G20" i="11"/>
  <c r="G21" i="11"/>
  <c r="G22" i="11"/>
  <c r="G23" i="11"/>
  <c r="G24" i="11"/>
  <c r="G25" i="11"/>
  <c r="G26" i="11"/>
  <c r="G27" i="11"/>
  <c r="G28" i="11"/>
  <c r="G29" i="11"/>
  <c r="G6" i="11"/>
  <c r="G7" i="10"/>
  <c r="G8" i="10"/>
  <c r="G9" i="10"/>
  <c r="G10" i="10"/>
  <c r="G11" i="10"/>
  <c r="G12" i="10"/>
  <c r="G13" i="10"/>
  <c r="G14" i="10"/>
  <c r="G15" i="10"/>
  <c r="G16" i="10"/>
  <c r="G17" i="10"/>
  <c r="G18" i="10"/>
  <c r="G19" i="10"/>
  <c r="G20" i="10"/>
  <c r="G21" i="10"/>
  <c r="G22" i="10"/>
  <c r="G23" i="10"/>
  <c r="G24" i="10"/>
  <c r="G5" i="10"/>
  <c r="G6" i="10"/>
  <c r="G5" i="7" l="1"/>
  <c r="G6" i="7"/>
  <c r="G8" i="7"/>
  <c r="G7" i="7"/>
  <c r="G9" i="7"/>
  <c r="G10" i="7"/>
  <c r="G11" i="7"/>
  <c r="G12" i="7"/>
  <c r="G13" i="7"/>
  <c r="G14" i="7"/>
  <c r="G15" i="7"/>
  <c r="G16" i="7"/>
  <c r="G17" i="7"/>
  <c r="G18" i="7"/>
  <c r="G19" i="7"/>
  <c r="G20" i="7"/>
  <c r="G21" i="7"/>
  <c r="G22" i="7"/>
  <c r="G23" i="7"/>
  <c r="G24" i="7"/>
  <c r="G25" i="7"/>
  <c r="G26" i="7"/>
  <c r="G27" i="7"/>
  <c r="G28" i="7"/>
  <c r="G29" i="7"/>
  <c r="G30" i="7"/>
  <c r="G31" i="7"/>
  <c r="G32" i="7"/>
  <c r="G6" i="8"/>
  <c r="G7" i="8"/>
  <c r="G8" i="8"/>
  <c r="G9" i="8"/>
  <c r="G10" i="8"/>
  <c r="G11" i="8"/>
  <c r="G12" i="8"/>
  <c r="G13" i="8"/>
  <c r="G14" i="8"/>
  <c r="G15" i="8"/>
  <c r="G16" i="8"/>
  <c r="G4" i="8"/>
  <c r="G5" i="8"/>
  <c r="G4" i="6" l="1"/>
  <c r="G5" i="6"/>
  <c r="G6" i="6"/>
  <c r="G7" i="6"/>
  <c r="G8" i="6"/>
  <c r="G9" i="6"/>
  <c r="G10" i="6"/>
  <c r="G11" i="6"/>
  <c r="G12" i="6"/>
  <c r="G13" i="6"/>
  <c r="G14" i="6"/>
  <c r="G15" i="6"/>
  <c r="G7" i="5"/>
  <c r="G8" i="5"/>
  <c r="G9" i="5"/>
  <c r="G10" i="5"/>
  <c r="G11" i="5"/>
  <c r="G12" i="5"/>
  <c r="G13" i="5"/>
  <c r="G14" i="5"/>
  <c r="G15" i="5"/>
  <c r="G16" i="5"/>
  <c r="G17" i="5"/>
  <c r="G18" i="5"/>
  <c r="G19" i="5"/>
  <c r="G20" i="5"/>
  <c r="G21" i="5"/>
  <c r="G22" i="5"/>
  <c r="G23" i="5"/>
  <c r="G24" i="5"/>
  <c r="G5" i="5"/>
  <c r="G6" i="5"/>
  <c r="G8" i="4" l="1"/>
  <c r="G9" i="4"/>
  <c r="G10" i="4"/>
  <c r="G11" i="4"/>
  <c r="G12" i="4"/>
  <c r="G13" i="4"/>
  <c r="G14" i="4"/>
  <c r="G15" i="4"/>
  <c r="G16" i="4"/>
  <c r="G17" i="4"/>
  <c r="G18" i="4"/>
  <c r="G19" i="4"/>
  <c r="G20" i="4"/>
  <c r="G21" i="4"/>
  <c r="G22" i="4"/>
  <c r="G23" i="4"/>
  <c r="G24" i="4"/>
  <c r="G25" i="4"/>
  <c r="G26" i="4"/>
  <c r="G27" i="4"/>
  <c r="G7" i="4"/>
  <c r="G6" i="4"/>
  <c r="G6" i="3"/>
  <c r="G5" i="3"/>
  <c r="G7" i="3"/>
  <c r="G8" i="3"/>
  <c r="G9" i="3"/>
  <c r="G10" i="3"/>
  <c r="G11" i="3"/>
  <c r="G12" i="3"/>
  <c r="G13" i="3"/>
  <c r="G14" i="3"/>
  <c r="G15" i="3"/>
  <c r="G16" i="3"/>
  <c r="G17" i="3"/>
  <c r="G18" i="3"/>
  <c r="G19" i="3"/>
  <c r="G20" i="3"/>
  <c r="G21" i="3"/>
  <c r="G22" i="3"/>
  <c r="G23" i="3"/>
  <c r="G24" i="3"/>
  <c r="G25" i="3"/>
  <c r="G26" i="3"/>
  <c r="G27" i="3"/>
  <c r="G28" i="3"/>
  <c r="G29" i="3"/>
  <c r="G30" i="3"/>
  <c r="G31" i="3"/>
  <c r="G7" i="2"/>
  <c r="G8" i="2"/>
  <c r="G9" i="2"/>
  <c r="G10" i="2"/>
  <c r="G11" i="2"/>
  <c r="G12" i="2"/>
  <c r="G13" i="2"/>
  <c r="G14" i="2"/>
  <c r="G15" i="2"/>
  <c r="G16" i="2"/>
  <c r="G17" i="2"/>
  <c r="G18" i="2"/>
  <c r="G19" i="2"/>
  <c r="G20" i="2"/>
  <c r="G21" i="2"/>
  <c r="G22" i="2"/>
  <c r="G23" i="2"/>
  <c r="G24" i="2"/>
  <c r="G25" i="2"/>
  <c r="G26" i="2"/>
  <c r="G6" i="2"/>
  <c r="G5" i="2"/>
  <c r="G7" i="1"/>
  <c r="G8" i="1"/>
  <c r="G9" i="1"/>
  <c r="G10" i="1"/>
  <c r="G11" i="1"/>
  <c r="G12" i="1"/>
  <c r="G13" i="1"/>
  <c r="G14" i="1"/>
  <c r="G15" i="1"/>
  <c r="G16" i="1"/>
  <c r="G17" i="1"/>
  <c r="G18" i="1"/>
  <c r="G19" i="1"/>
  <c r="G20" i="1"/>
  <c r="G21" i="1"/>
  <c r="G22" i="1"/>
  <c r="G23" i="1"/>
  <c r="G5" i="1"/>
  <c r="G6" i="1"/>
  <c r="O21" i="13" l="1"/>
  <c r="O22" i="12" l="1"/>
  <c r="Q11" i="13" l="1"/>
  <c r="Q23" i="13"/>
  <c r="Q22" i="13"/>
  <c r="Q21" i="13"/>
  <c r="O6" i="6" l="1"/>
  <c r="O5" i="6"/>
  <c r="P23" i="13" l="1"/>
  <c r="P22" i="13"/>
  <c r="P21" i="13"/>
  <c r="Q19" i="13"/>
  <c r="Q14" i="13"/>
  <c r="Q13" i="13"/>
  <c r="Q12" i="13"/>
  <c r="Q16" i="12"/>
  <c r="O16" i="13" l="1"/>
  <c r="Q22" i="12"/>
  <c r="Q20" i="12"/>
  <c r="Q16" i="13"/>
  <c r="Q18" i="13"/>
  <c r="Q17" i="13"/>
  <c r="Q10" i="13"/>
  <c r="Q9" i="13"/>
  <c r="P16" i="13"/>
  <c r="R16" i="13" s="1"/>
  <c r="P10" i="13"/>
  <c r="P9" i="13"/>
  <c r="P8" i="13"/>
  <c r="P6" i="13"/>
  <c r="R6" i="13" s="1"/>
  <c r="R5" i="13"/>
  <c r="R7" i="13"/>
  <c r="R8" i="13"/>
  <c r="R11" i="13"/>
  <c r="R12" i="13"/>
  <c r="R13" i="13"/>
  <c r="R14" i="13"/>
  <c r="R15" i="13"/>
  <c r="R17" i="13"/>
  <c r="R18" i="13"/>
  <c r="R19" i="13"/>
  <c r="O9" i="12"/>
  <c r="O7" i="12"/>
  <c r="O6" i="12"/>
  <c r="R10" i="13" l="1"/>
  <c r="R9" i="13"/>
  <c r="Q19" i="12"/>
  <c r="Q18" i="12"/>
  <c r="Q15" i="12"/>
  <c r="Q14" i="12"/>
  <c r="Q7" i="12"/>
  <c r="Q6" i="12"/>
  <c r="P22" i="12"/>
  <c r="R22" i="12" s="1"/>
  <c r="P21" i="12"/>
  <c r="P20" i="12"/>
  <c r="R20" i="12" s="1"/>
  <c r="P19" i="12"/>
  <c r="R19" i="12" s="1"/>
  <c r="P17" i="12"/>
  <c r="R17" i="12" s="1"/>
  <c r="P15" i="12"/>
  <c r="P14" i="12"/>
  <c r="P13" i="12"/>
  <c r="P12" i="12"/>
  <c r="P11" i="12"/>
  <c r="P7" i="12"/>
  <c r="P6" i="12"/>
  <c r="R16" i="12"/>
  <c r="R18" i="12"/>
  <c r="R21" i="12"/>
  <c r="Q29" i="11"/>
  <c r="Q28" i="11"/>
  <c r="Q27" i="11"/>
  <c r="Q25" i="11"/>
  <c r="Q23" i="11"/>
  <c r="Q22" i="11"/>
  <c r="Q21" i="11"/>
  <c r="Q20" i="11"/>
  <c r="Q16" i="11"/>
  <c r="Q15" i="11"/>
  <c r="Q14" i="11"/>
  <c r="Q13" i="11"/>
  <c r="Q12" i="11"/>
  <c r="Q11" i="11"/>
  <c r="O25" i="11"/>
  <c r="O22" i="11"/>
  <c r="O21" i="11"/>
  <c r="R14" i="12" l="1"/>
  <c r="R15" i="12"/>
  <c r="Q13" i="7"/>
  <c r="Q12" i="7"/>
  <c r="Q11" i="7"/>
  <c r="Q10" i="7"/>
  <c r="O22" i="10" l="1"/>
  <c r="P29" i="11" l="1"/>
  <c r="R27" i="11" l="1"/>
  <c r="R28" i="11"/>
  <c r="R29" i="11"/>
  <c r="Q7" i="11"/>
  <c r="Q6" i="11"/>
  <c r="Q5" i="11"/>
  <c r="P21" i="11"/>
  <c r="P11" i="11"/>
  <c r="P10" i="11"/>
  <c r="P9" i="11"/>
  <c r="P8" i="11"/>
  <c r="P6" i="11"/>
  <c r="P5" i="11"/>
  <c r="O17" i="11"/>
  <c r="O12" i="11"/>
  <c r="O5" i="11"/>
  <c r="O18" i="10"/>
  <c r="Q23" i="10"/>
  <c r="Q22" i="10"/>
  <c r="Q23" i="7" l="1"/>
  <c r="R21" i="8" l="1"/>
  <c r="Q21" i="8"/>
  <c r="R36" i="3"/>
  <c r="Q36" i="3"/>
  <c r="R31" i="2"/>
  <c r="Q31" i="2"/>
  <c r="Q17" i="10" l="1"/>
  <c r="Q9" i="10"/>
  <c r="Q6" i="10"/>
  <c r="P16" i="10"/>
  <c r="P15" i="10"/>
  <c r="P14" i="10"/>
  <c r="P10" i="10"/>
  <c r="P7" i="10"/>
  <c r="P6" i="10"/>
  <c r="P5" i="10"/>
  <c r="O24" i="10"/>
  <c r="O15" i="10"/>
  <c r="O13" i="10"/>
  <c r="O11" i="10"/>
  <c r="O6" i="10"/>
  <c r="O5" i="10"/>
  <c r="Q25" i="13" l="1"/>
  <c r="I17" i="9" s="1"/>
  <c r="P25" i="13"/>
  <c r="H17" i="9" s="1"/>
  <c r="O25" i="13"/>
  <c r="N25" i="13"/>
  <c r="F17" i="9" s="1"/>
  <c r="M25" i="13"/>
  <c r="E17" i="9" s="1"/>
  <c r="L25" i="13"/>
  <c r="R24" i="13"/>
  <c r="R23" i="13"/>
  <c r="R22" i="13"/>
  <c r="R21" i="13"/>
  <c r="R20" i="13"/>
  <c r="Q24" i="12"/>
  <c r="I16" i="9" s="1"/>
  <c r="P24" i="12"/>
  <c r="O24" i="12"/>
  <c r="N24" i="12"/>
  <c r="F16" i="9" s="1"/>
  <c r="M24" i="12"/>
  <c r="E16" i="9" s="1"/>
  <c r="L24" i="12"/>
  <c r="D16" i="9" s="1"/>
  <c r="R23" i="12"/>
  <c r="R13" i="12"/>
  <c r="R12" i="12"/>
  <c r="R11" i="12"/>
  <c r="R10" i="12"/>
  <c r="R9" i="12"/>
  <c r="R8" i="12"/>
  <c r="R7" i="12"/>
  <c r="R6" i="12"/>
  <c r="R5" i="12"/>
  <c r="Q30" i="11"/>
  <c r="I15" i="9" s="1"/>
  <c r="P30" i="11"/>
  <c r="H15" i="9" s="1"/>
  <c r="O30" i="11"/>
  <c r="N30" i="11"/>
  <c r="F15" i="9" s="1"/>
  <c r="M30" i="11"/>
  <c r="E15" i="9" s="1"/>
  <c r="L30" i="11"/>
  <c r="R26" i="11"/>
  <c r="R25" i="11"/>
  <c r="R24" i="11"/>
  <c r="R23" i="11"/>
  <c r="R22" i="11"/>
  <c r="R21" i="11"/>
  <c r="R20" i="11"/>
  <c r="R19" i="11"/>
  <c r="R18" i="11"/>
  <c r="R17" i="11"/>
  <c r="R16" i="11"/>
  <c r="R15" i="11"/>
  <c r="R14" i="11"/>
  <c r="R13" i="11"/>
  <c r="R12" i="11"/>
  <c r="R11" i="11"/>
  <c r="R10" i="11"/>
  <c r="R9" i="11"/>
  <c r="R8" i="11"/>
  <c r="R7" i="11"/>
  <c r="R6" i="11"/>
  <c r="R5" i="11"/>
  <c r="N25" i="10"/>
  <c r="F14" i="9" s="1"/>
  <c r="M25" i="10"/>
  <c r="E14" i="9" s="1"/>
  <c r="R24" i="10"/>
  <c r="R23" i="10"/>
  <c r="R22" i="10"/>
  <c r="R21" i="10"/>
  <c r="R20" i="10"/>
  <c r="R19" i="10"/>
  <c r="R18" i="10"/>
  <c r="R17" i="10"/>
  <c r="R16" i="10"/>
  <c r="L25" i="10"/>
  <c r="D14" i="9" s="1"/>
  <c r="R14" i="10"/>
  <c r="R13" i="10"/>
  <c r="R12" i="10"/>
  <c r="R11" i="10"/>
  <c r="R10" i="10"/>
  <c r="R9" i="10"/>
  <c r="Q25" i="10"/>
  <c r="R8" i="10"/>
  <c r="R6" i="10"/>
  <c r="P25" i="10"/>
  <c r="H14" i="9" s="1"/>
  <c r="R10" i="7"/>
  <c r="R11" i="7"/>
  <c r="R12" i="7"/>
  <c r="R13" i="7"/>
  <c r="L16" i="7"/>
  <c r="N33" i="7"/>
  <c r="F13" i="9" s="1"/>
  <c r="R8" i="7"/>
  <c r="R15" i="7"/>
  <c r="R17" i="7"/>
  <c r="N18" i="8"/>
  <c r="R15" i="8"/>
  <c r="R9" i="6"/>
  <c r="R10" i="6"/>
  <c r="R4" i="6"/>
  <c r="N17" i="6"/>
  <c r="R6" i="5"/>
  <c r="R8" i="5"/>
  <c r="R9" i="5"/>
  <c r="R12" i="5"/>
  <c r="N26" i="5"/>
  <c r="F10" i="9" s="1"/>
  <c r="L22" i="4"/>
  <c r="M22" i="4"/>
  <c r="R7" i="4"/>
  <c r="R11" i="4"/>
  <c r="R13" i="4"/>
  <c r="N29" i="4"/>
  <c r="M23" i="3"/>
  <c r="R23" i="3" s="1"/>
  <c r="N33" i="3"/>
  <c r="R6" i="3"/>
  <c r="R7" i="3"/>
  <c r="R9" i="3"/>
  <c r="R24" i="3"/>
  <c r="R25" i="3"/>
  <c r="N24" i="1"/>
  <c r="R9" i="2"/>
  <c r="R19" i="2"/>
  <c r="N28" i="2"/>
  <c r="F7" i="9" s="1"/>
  <c r="M17" i="1"/>
  <c r="M15" i="1"/>
  <c r="D17" i="9" l="1"/>
  <c r="H16" i="9"/>
  <c r="D15" i="9"/>
  <c r="I14" i="9"/>
  <c r="O26" i="13"/>
  <c r="O25" i="12"/>
  <c r="R24" i="12" s="1"/>
  <c r="O31" i="11"/>
  <c r="R5" i="10"/>
  <c r="R7" i="10"/>
  <c r="R15" i="10"/>
  <c r="O25" i="10"/>
  <c r="O26" i="12" l="1"/>
  <c r="Q27" i="12" s="1"/>
  <c r="R27" i="12" s="1"/>
  <c r="O27" i="13"/>
  <c r="R25" i="13"/>
  <c r="O32" i="11"/>
  <c r="R30" i="11"/>
  <c r="O26" i="10"/>
  <c r="R25" i="10" s="1"/>
  <c r="L33" i="7"/>
  <c r="D13" i="9" s="1"/>
  <c r="Q32" i="7"/>
  <c r="O32" i="7"/>
  <c r="Q31" i="7"/>
  <c r="R31" i="7" s="1"/>
  <c r="Q30" i="7"/>
  <c r="O30" i="7"/>
  <c r="Q29" i="7"/>
  <c r="P29" i="7"/>
  <c r="O29" i="7"/>
  <c r="O28" i="7"/>
  <c r="R28" i="7" s="1"/>
  <c r="Q27" i="7"/>
  <c r="P27" i="7"/>
  <c r="O27" i="7"/>
  <c r="Q26" i="7"/>
  <c r="P26" i="7"/>
  <c r="O25" i="7"/>
  <c r="R25" i="7" s="1"/>
  <c r="P24" i="7"/>
  <c r="O24" i="7"/>
  <c r="P23" i="7"/>
  <c r="O23" i="7"/>
  <c r="Q22" i="7"/>
  <c r="R22" i="7" s="1"/>
  <c r="Q21" i="7"/>
  <c r="R21" i="7" s="1"/>
  <c r="Q20" i="7"/>
  <c r="P20" i="7"/>
  <c r="O20" i="7"/>
  <c r="Q19" i="7"/>
  <c r="R19" i="7" s="1"/>
  <c r="P18" i="7"/>
  <c r="R18" i="7" s="1"/>
  <c r="Q16" i="7"/>
  <c r="P16" i="7"/>
  <c r="Q14" i="7"/>
  <c r="P14" i="7"/>
  <c r="O14" i="7"/>
  <c r="Q9" i="7"/>
  <c r="P9" i="7"/>
  <c r="O9" i="7"/>
  <c r="O7" i="7"/>
  <c r="R7" i="7" s="1"/>
  <c r="P6" i="7"/>
  <c r="R6" i="7" s="1"/>
  <c r="P5" i="7"/>
  <c r="R5" i="7" s="1"/>
  <c r="L18" i="8"/>
  <c r="D12" i="9" s="1"/>
  <c r="Q16" i="8"/>
  <c r="R16" i="8" s="1"/>
  <c r="O14" i="8"/>
  <c r="R14" i="8" s="1"/>
  <c r="P13" i="8"/>
  <c r="R13" i="8" s="1"/>
  <c r="Q12" i="8"/>
  <c r="P12" i="8"/>
  <c r="Q11" i="8"/>
  <c r="P11" i="8"/>
  <c r="O11" i="8"/>
  <c r="R11" i="8" s="1"/>
  <c r="M18" i="8"/>
  <c r="E12" i="9" s="1"/>
  <c r="O10" i="8"/>
  <c r="R10" i="8" s="1"/>
  <c r="Q9" i="8"/>
  <c r="R9" i="8" s="1"/>
  <c r="Q8" i="8"/>
  <c r="R8" i="8" s="1"/>
  <c r="Q7" i="8"/>
  <c r="R7" i="8" s="1"/>
  <c r="Q6" i="8"/>
  <c r="P6" i="8"/>
  <c r="R6" i="8" s="1"/>
  <c r="Q5" i="8"/>
  <c r="R5" i="8" s="1"/>
  <c r="Q4" i="8"/>
  <c r="R4" i="8" s="1"/>
  <c r="Q15" i="6"/>
  <c r="Q14" i="6"/>
  <c r="P15" i="6"/>
  <c r="P14" i="6"/>
  <c r="R14" i="6" s="1"/>
  <c r="G17" i="9" l="1"/>
  <c r="J17" i="9" s="1"/>
  <c r="L17" i="9" s="1"/>
  <c r="Q28" i="13"/>
  <c r="R28" i="13" s="1"/>
  <c r="G15" i="9"/>
  <c r="J15" i="9" s="1"/>
  <c r="L15" i="9" s="1"/>
  <c r="Q33" i="11"/>
  <c r="R33" i="11" s="1"/>
  <c r="R14" i="7"/>
  <c r="G16" i="9"/>
  <c r="J16" i="9" s="1"/>
  <c r="L16" i="9" s="1"/>
  <c r="R32" i="7"/>
  <c r="R20" i="7"/>
  <c r="R26" i="7"/>
  <c r="R27" i="7"/>
  <c r="R29" i="7"/>
  <c r="O27" i="10"/>
  <c r="R9" i="7"/>
  <c r="M33" i="7"/>
  <c r="E13" i="9" s="1"/>
  <c r="R16" i="7"/>
  <c r="R23" i="7"/>
  <c r="R24" i="7"/>
  <c r="R30" i="7"/>
  <c r="R12" i="8"/>
  <c r="R15" i="6"/>
  <c r="P33" i="7"/>
  <c r="H13" i="9" s="1"/>
  <c r="Q33" i="7"/>
  <c r="O33" i="7"/>
  <c r="Q18" i="8"/>
  <c r="I12" i="9" s="1"/>
  <c r="P18" i="8"/>
  <c r="H12" i="9" s="1"/>
  <c r="O18" i="8"/>
  <c r="O19" i="8" s="1"/>
  <c r="O20" i="8" s="1"/>
  <c r="G12" i="9" s="1"/>
  <c r="L17" i="6"/>
  <c r="Q13" i="6"/>
  <c r="O13" i="6"/>
  <c r="R13" i="6"/>
  <c r="Q12" i="6"/>
  <c r="R12" i="6"/>
  <c r="Q11" i="6"/>
  <c r="P8" i="6"/>
  <c r="R8" i="6" s="1"/>
  <c r="P7" i="6"/>
  <c r="O7" i="6"/>
  <c r="R6" i="6"/>
  <c r="R5" i="6"/>
  <c r="D11" i="9" l="1"/>
  <c r="G14" i="9"/>
  <c r="J14" i="9" s="1"/>
  <c r="L14" i="9" s="1"/>
  <c r="Q28" i="10"/>
  <c r="R28" i="10" s="1"/>
  <c r="I13" i="9"/>
  <c r="R18" i="8"/>
  <c r="O34" i="7"/>
  <c r="R33" i="7" s="1"/>
  <c r="J12" i="9"/>
  <c r="L12" i="9" s="1"/>
  <c r="R7" i="6"/>
  <c r="M17" i="6"/>
  <c r="R11" i="6"/>
  <c r="P17" i="6"/>
  <c r="H11" i="9" s="1"/>
  <c r="Q17" i="6"/>
  <c r="I11" i="9" s="1"/>
  <c r="O17" i="6"/>
  <c r="O18" i="6" s="1"/>
  <c r="O19" i="6" s="1"/>
  <c r="G11" i="9" s="1"/>
  <c r="Q20" i="6" l="1"/>
  <c r="O35" i="7"/>
  <c r="Q36" i="7" s="1"/>
  <c r="R36" i="7" s="1"/>
  <c r="F19" i="9"/>
  <c r="E11" i="9"/>
  <c r="R17" i="6"/>
  <c r="J11" i="9"/>
  <c r="M26" i="5"/>
  <c r="P24" i="5"/>
  <c r="R24" i="5" s="1"/>
  <c r="O23" i="5"/>
  <c r="R23" i="5" s="1"/>
  <c r="Q22" i="5"/>
  <c r="P22" i="5"/>
  <c r="O22" i="5"/>
  <c r="Q21" i="5"/>
  <c r="P21" i="5"/>
  <c r="O21" i="5"/>
  <c r="R21" i="5" s="1"/>
  <c r="Q20" i="5"/>
  <c r="R20" i="5" s="1"/>
  <c r="Q19" i="5"/>
  <c r="R19" i="5" s="1"/>
  <c r="Q18" i="5"/>
  <c r="R18" i="5" s="1"/>
  <c r="Q17" i="5"/>
  <c r="R17" i="5" s="1"/>
  <c r="P16" i="5"/>
  <c r="R16" i="5" s="1"/>
  <c r="P15" i="5"/>
  <c r="O15" i="5"/>
  <c r="P14" i="5"/>
  <c r="R14" i="5" s="1"/>
  <c r="P13" i="5"/>
  <c r="R13" i="5" s="1"/>
  <c r="Q11" i="5"/>
  <c r="R11" i="5" s="1"/>
  <c r="O10" i="5"/>
  <c r="R10" i="5" s="1"/>
  <c r="O5" i="5"/>
  <c r="R5" i="5" s="1"/>
  <c r="R20" i="6" l="1"/>
  <c r="L11" i="9"/>
  <c r="E10" i="9"/>
  <c r="G13" i="9"/>
  <c r="J13" i="9" s="1"/>
  <c r="L13" i="9" s="1"/>
  <c r="L26" i="5"/>
  <c r="D10" i="9" s="1"/>
  <c r="R7" i="5"/>
  <c r="R15" i="5"/>
  <c r="R22" i="5"/>
  <c r="Q26" i="5"/>
  <c r="I10" i="9" s="1"/>
  <c r="P26" i="5"/>
  <c r="H10" i="9" s="1"/>
  <c r="O26" i="5"/>
  <c r="Q29" i="5" l="1"/>
  <c r="O29" i="5"/>
  <c r="O28" i="5"/>
  <c r="R26" i="5" s="1"/>
  <c r="R29" i="5" s="1"/>
  <c r="G10" i="9" l="1"/>
  <c r="J10" i="9" s="1"/>
  <c r="L10" i="9" s="1"/>
  <c r="L29" i="4"/>
  <c r="D9" i="9" s="1"/>
  <c r="Q27" i="4"/>
  <c r="P27" i="4"/>
  <c r="R27" i="4" s="1"/>
  <c r="P26" i="4"/>
  <c r="O26" i="4"/>
  <c r="R26" i="4" s="1"/>
  <c r="Q25" i="4"/>
  <c r="P25" i="4"/>
  <c r="R25" i="4" s="1"/>
  <c r="Q24" i="4"/>
  <c r="P24" i="4"/>
  <c r="R24" i="4" s="1"/>
  <c r="P23" i="4"/>
  <c r="R23" i="4" s="1"/>
  <c r="P22" i="4"/>
  <c r="R22" i="4" s="1"/>
  <c r="M29" i="4"/>
  <c r="P21" i="4"/>
  <c r="R21" i="4" s="1"/>
  <c r="P20" i="4"/>
  <c r="R20" i="4" s="1"/>
  <c r="Q19" i="4"/>
  <c r="P19" i="4"/>
  <c r="R19" i="4" s="1"/>
  <c r="Q18" i="4"/>
  <c r="P18" i="4"/>
  <c r="O18" i="4"/>
  <c r="Q17" i="4"/>
  <c r="P17" i="4"/>
  <c r="O17" i="4"/>
  <c r="R17" i="4" s="1"/>
  <c r="O16" i="4"/>
  <c r="R16" i="4" s="1"/>
  <c r="O15" i="4"/>
  <c r="R15" i="4" s="1"/>
  <c r="O14" i="4"/>
  <c r="R14" i="4" s="1"/>
  <c r="P12" i="4"/>
  <c r="R12" i="4" s="1"/>
  <c r="P10" i="4"/>
  <c r="R10" i="4" s="1"/>
  <c r="Q9" i="4"/>
  <c r="P9" i="4"/>
  <c r="O9" i="4"/>
  <c r="R9" i="4" s="1"/>
  <c r="Q8" i="4"/>
  <c r="O8" i="4"/>
  <c r="R8" i="4" s="1"/>
  <c r="P6" i="4"/>
  <c r="E9" i="9" l="1"/>
  <c r="Q32" i="4"/>
  <c r="P29" i="4"/>
  <c r="H9" i="9" s="1"/>
  <c r="R6" i="4"/>
  <c r="R18" i="4"/>
  <c r="Q29" i="4"/>
  <c r="I9" i="9" s="1"/>
  <c r="O29" i="4"/>
  <c r="L33" i="3"/>
  <c r="D8" i="9" s="1"/>
  <c r="P31" i="3"/>
  <c r="R31" i="3" s="1"/>
  <c r="P30" i="3"/>
  <c r="O30" i="3"/>
  <c r="R30" i="3" s="1"/>
  <c r="P29" i="3"/>
  <c r="R29" i="3" s="1"/>
  <c r="Q28" i="3"/>
  <c r="R28" i="3" s="1"/>
  <c r="Q27" i="3"/>
  <c r="O27" i="3"/>
  <c r="R27" i="3" s="1"/>
  <c r="P26" i="3"/>
  <c r="R26" i="3" s="1"/>
  <c r="Q22" i="3"/>
  <c r="P22" i="3"/>
  <c r="O22" i="3"/>
  <c r="R22" i="3" s="1"/>
  <c r="Q21" i="3"/>
  <c r="R21" i="3" s="1"/>
  <c r="Q20" i="3"/>
  <c r="R20" i="3" s="1"/>
  <c r="Q19" i="3"/>
  <c r="R19" i="3" s="1"/>
  <c r="Q18" i="3"/>
  <c r="O18" i="3"/>
  <c r="Q17" i="3"/>
  <c r="R17" i="3" s="1"/>
  <c r="O16" i="3"/>
  <c r="R16" i="3" s="1"/>
  <c r="P15" i="3"/>
  <c r="O15" i="3"/>
  <c r="Q14" i="3"/>
  <c r="P14" i="3"/>
  <c r="O14" i="3"/>
  <c r="R14" i="3" s="1"/>
  <c r="O13" i="3"/>
  <c r="R13" i="3" s="1"/>
  <c r="Q12" i="3"/>
  <c r="P12" i="3"/>
  <c r="O12" i="3"/>
  <c r="R12" i="3" s="1"/>
  <c r="P11" i="3"/>
  <c r="O11" i="3"/>
  <c r="R11" i="3" s="1"/>
  <c r="Q10" i="3"/>
  <c r="P10" i="3"/>
  <c r="O10" i="3"/>
  <c r="P8" i="3"/>
  <c r="R8" i="3" s="1"/>
  <c r="P5" i="3"/>
  <c r="R5" i="3" s="1"/>
  <c r="R10" i="3" l="1"/>
  <c r="Q33" i="3"/>
  <c r="I8" i="9" s="1"/>
  <c r="R15" i="3"/>
  <c r="R18" i="3"/>
  <c r="O30" i="4"/>
  <c r="R29" i="4" s="1"/>
  <c r="R32" i="4" s="1"/>
  <c r="M33" i="3"/>
  <c r="P33" i="3"/>
  <c r="O33" i="3"/>
  <c r="L28" i="2"/>
  <c r="D7" i="9" s="1"/>
  <c r="Q26" i="2"/>
  <c r="R26" i="2" s="1"/>
  <c r="P25" i="2"/>
  <c r="R25" i="2" s="1"/>
  <c r="P24" i="2"/>
  <c r="R24" i="2" s="1"/>
  <c r="P23" i="2"/>
  <c r="O23" i="2"/>
  <c r="M28" i="2"/>
  <c r="P22" i="2"/>
  <c r="O22" i="2"/>
  <c r="P21" i="2"/>
  <c r="O21" i="2"/>
  <c r="P20" i="2"/>
  <c r="R20" i="2" s="1"/>
  <c r="Q18" i="2"/>
  <c r="R18" i="2" s="1"/>
  <c r="Q17" i="2"/>
  <c r="R17" i="2" s="1"/>
  <c r="O16" i="2"/>
  <c r="R16" i="2" s="1"/>
  <c r="P15" i="2"/>
  <c r="O15" i="2"/>
  <c r="Q14" i="2"/>
  <c r="P14" i="2"/>
  <c r="Q13" i="2"/>
  <c r="P13" i="2"/>
  <c r="Q12" i="2"/>
  <c r="R12" i="2" s="1"/>
  <c r="P11" i="2"/>
  <c r="R11" i="2" s="1"/>
  <c r="Q10" i="2"/>
  <c r="P10" i="2"/>
  <c r="O10" i="2"/>
  <c r="Q8" i="2"/>
  <c r="P8" i="2"/>
  <c r="R8" i="2" s="1"/>
  <c r="Q7" i="2"/>
  <c r="P7" i="2"/>
  <c r="O7" i="2"/>
  <c r="P6" i="2"/>
  <c r="O6" i="2"/>
  <c r="P5" i="2"/>
  <c r="O31" i="4" l="1"/>
  <c r="O34" i="3"/>
  <c r="R33" i="3" s="1"/>
  <c r="R10" i="2"/>
  <c r="R23" i="2"/>
  <c r="P28" i="2"/>
  <c r="H7" i="9" s="1"/>
  <c r="R5" i="2"/>
  <c r="R6" i="2"/>
  <c r="R7" i="2"/>
  <c r="Q28" i="2"/>
  <c r="I7" i="9" s="1"/>
  <c r="R13" i="2"/>
  <c r="R14" i="2"/>
  <c r="R15" i="2"/>
  <c r="R21" i="2"/>
  <c r="R22" i="2"/>
  <c r="E7" i="9"/>
  <c r="E8" i="9"/>
  <c r="H8" i="9"/>
  <c r="O28" i="2"/>
  <c r="L24" i="1"/>
  <c r="Q23" i="1"/>
  <c r="P23" i="1"/>
  <c r="O23" i="1"/>
  <c r="Q22" i="1"/>
  <c r="P22" i="1"/>
  <c r="O22" i="1"/>
  <c r="R22" i="1" s="1"/>
  <c r="Q21" i="1"/>
  <c r="P21" i="1"/>
  <c r="R21" i="1" s="1"/>
  <c r="P20" i="1"/>
  <c r="R20" i="1" s="1"/>
  <c r="Q19" i="1"/>
  <c r="P19" i="1"/>
  <c r="Q18" i="1"/>
  <c r="P18" i="1"/>
  <c r="Q17" i="1"/>
  <c r="P17" i="1"/>
  <c r="Q16" i="1"/>
  <c r="P16" i="1"/>
  <c r="O16" i="1"/>
  <c r="Q15" i="1"/>
  <c r="P15" i="1"/>
  <c r="O15" i="1"/>
  <c r="P14" i="1"/>
  <c r="R14" i="1" s="1"/>
  <c r="P13" i="1"/>
  <c r="R13" i="1" s="1"/>
  <c r="P12" i="1"/>
  <c r="R12" i="1" s="1"/>
  <c r="P11" i="1"/>
  <c r="R11" i="1" s="1"/>
  <c r="Q10" i="1"/>
  <c r="P10" i="1"/>
  <c r="P9" i="1"/>
  <c r="R9" i="1" s="1"/>
  <c r="P8" i="1"/>
  <c r="R8" i="1" s="1"/>
  <c r="P7" i="1"/>
  <c r="R7" i="1" s="1"/>
  <c r="P6" i="1"/>
  <c r="R6" i="1" s="1"/>
  <c r="P5" i="1"/>
  <c r="R5" i="1" s="1"/>
  <c r="G9" i="9" l="1"/>
  <c r="J9" i="9" s="1"/>
  <c r="L9" i="9" s="1"/>
  <c r="O35" i="3"/>
  <c r="R10" i="1"/>
  <c r="R15" i="1"/>
  <c r="R17" i="1"/>
  <c r="R18" i="1"/>
  <c r="R19" i="1"/>
  <c r="R16" i="1"/>
  <c r="D6" i="9"/>
  <c r="R23" i="1"/>
  <c r="O30" i="2"/>
  <c r="O29" i="2"/>
  <c r="R28" i="2"/>
  <c r="M24" i="1"/>
  <c r="E6" i="9" s="1"/>
  <c r="E19" i="9" s="1"/>
  <c r="P24" i="1"/>
  <c r="H6" i="9" s="1"/>
  <c r="H19" i="9" s="1"/>
  <c r="Q24" i="1"/>
  <c r="I6" i="9" s="1"/>
  <c r="I19" i="9" s="1"/>
  <c r="O24" i="1"/>
  <c r="G8" i="9" l="1"/>
  <c r="J8" i="9" s="1"/>
  <c r="L8" i="9" s="1"/>
  <c r="G7" i="9"/>
  <c r="J7" i="9" s="1"/>
  <c r="L7" i="9" s="1"/>
  <c r="O25" i="1"/>
  <c r="R24" i="1" s="1"/>
  <c r="D19" i="9"/>
  <c r="R27" i="1" l="1"/>
  <c r="O26" i="1"/>
  <c r="Q27" i="1" s="1"/>
  <c r="G6" i="9" l="1"/>
  <c r="G19" i="9" s="1"/>
  <c r="I22" i="9" s="1"/>
  <c r="J6" i="9" l="1"/>
  <c r="L6" i="9" s="1"/>
  <c r="J25" i="9" l="1"/>
</calcChain>
</file>

<file path=xl/sharedStrings.xml><?xml version="1.0" encoding="utf-8"?>
<sst xmlns="http://schemas.openxmlformats.org/spreadsheetml/2006/main" count="1578" uniqueCount="739">
  <si>
    <t>QTDE.</t>
  </si>
  <si>
    <t>NOME</t>
  </si>
  <si>
    <t>LOCAL</t>
  </si>
  <si>
    <t>PERÍODO</t>
  </si>
  <si>
    <t>VALOR PASSAGENS</t>
  </si>
  <si>
    <t>VALOR HOSPEDAGEM</t>
  </si>
  <si>
    <t>VALOR TOTAL</t>
  </si>
  <si>
    <t>200113/2018-64</t>
  </si>
  <si>
    <t>MARIA INÊS RODRIGUES LOBATO</t>
  </si>
  <si>
    <t>POA X BSB X POA</t>
  </si>
  <si>
    <t>200091/2018-32</t>
  </si>
  <si>
    <t>NADINE OLIVEIRA CLAUSELL</t>
  </si>
  <si>
    <t>200096/2018-65</t>
  </si>
  <si>
    <t>ROSELI FÁTIMA ARMILIATTO BORTOLUZZI</t>
  </si>
  <si>
    <t>200116/2018-06</t>
  </si>
  <si>
    <t>JAIRO HENRIQUE GONÇALVES</t>
  </si>
  <si>
    <t>200223/2018-26</t>
  </si>
  <si>
    <t>FRANCISCO DE ASSIS FIGUEIREDO</t>
  </si>
  <si>
    <t>BH X POA X BSB</t>
  </si>
  <si>
    <t>200224/2018-71</t>
  </si>
  <si>
    <t>MARIA HELENA GUIMARÃES DE CASTRO</t>
  </si>
  <si>
    <t>SP X POA X BSB</t>
  </si>
  <si>
    <t>200221/2018-37</t>
  </si>
  <si>
    <t>MARCELO KALUME REIS</t>
  </si>
  <si>
    <t>BSB X POA X BSB</t>
  </si>
  <si>
    <t>200222/2018-81</t>
  </si>
  <si>
    <t>GLEISSON CARDOSO RUBIN</t>
  </si>
  <si>
    <t>200121/2018-19</t>
  </si>
  <si>
    <t>AMARILIO VIEIRA DE MACEDO NETO</t>
  </si>
  <si>
    <t>200123/2018-08</t>
  </si>
  <si>
    <t>ELIZABETH OBINO CIRNE LIMA</t>
  </si>
  <si>
    <t>200170/2018-43</t>
  </si>
  <si>
    <t>PAULO DA CUNHA SERPA</t>
  </si>
  <si>
    <t>200225/2018-15</t>
  </si>
  <si>
    <t>IARA FERREIRA PINHEIRO</t>
  </si>
  <si>
    <t>200227/2018-12</t>
  </si>
  <si>
    <t>WASLEI JOSÉ DA SILVA</t>
  </si>
  <si>
    <t>200228/2018-59</t>
  </si>
  <si>
    <t>ANDRE LUIZ VALENTE MAYRING</t>
  </si>
  <si>
    <t>200270/2018-70</t>
  </si>
  <si>
    <t>200297/2018-62</t>
  </si>
  <si>
    <t>LUCIANA BERBIGIER LUCAS</t>
  </si>
  <si>
    <t>POA XBSB X POA</t>
  </si>
  <si>
    <t>200299/2018-51</t>
  </si>
  <si>
    <t>JACSON ANTÔNIO CARDIN CRAUSS</t>
  </si>
  <si>
    <t>POA X RJ XPOA</t>
  </si>
  <si>
    <t>200302/2018-37</t>
  </si>
  <si>
    <t>SAULO CHAVES DE AQUINO</t>
  </si>
  <si>
    <t>POA XRJ X POA</t>
  </si>
  <si>
    <t>TOTAL GERAL</t>
  </si>
  <si>
    <t>conferência</t>
  </si>
  <si>
    <t>200255/2018-21</t>
  </si>
  <si>
    <t>LUANA BAPTISTA RODRIGUES PIRES</t>
  </si>
  <si>
    <t>POA X SP X POA</t>
  </si>
  <si>
    <t>200256/2018-76</t>
  </si>
  <si>
    <t>LUCIANE CAMILLO DE MAGALHÃES</t>
  </si>
  <si>
    <t>200540/2018-42</t>
  </si>
  <si>
    <t>POA X BSB  X POA</t>
  </si>
  <si>
    <t>200452/2018-41</t>
  </si>
  <si>
    <t>200504/2018-89</t>
  </si>
  <si>
    <t>HELENA GOLDANI</t>
  </si>
  <si>
    <t>200415/2018-32</t>
  </si>
  <si>
    <t>VALTER FERREIRA DA SILVA</t>
  </si>
  <si>
    <t>200481/2018-11</t>
  </si>
  <si>
    <t>200493/2018-37</t>
  </si>
  <si>
    <t>200571/2018-01</t>
  </si>
  <si>
    <t>MARISA CARNEIRO DOS SANTOS</t>
  </si>
  <si>
    <t>200573/2018-92</t>
  </si>
  <si>
    <t>BRUNA HEVELYN FLORES BENTO</t>
  </si>
  <si>
    <t>200554/2018-66</t>
  </si>
  <si>
    <t>BERNARDO DUARTE</t>
  </si>
  <si>
    <t>200615/2018-95</t>
  </si>
  <si>
    <t>SIMONE DALLA POZZA MAHMUD</t>
  </si>
  <si>
    <t>200630/2018-33</t>
  </si>
  <si>
    <t>RENATO FALSARELLA MARTINS MALVEZZI</t>
  </si>
  <si>
    <t>200639/2018-44</t>
  </si>
  <si>
    <t>AMÁLIA DE FÁTIMA LUCENA</t>
  </si>
  <si>
    <t>200609/2018-38</t>
  </si>
  <si>
    <t>LUCIANE DOS REIS FRANCISCO</t>
  </si>
  <si>
    <t>200626/2018-75</t>
  </si>
  <si>
    <t>200651/2018-59</t>
  </si>
  <si>
    <t>LUCIANA RAUPP RIOS WOHLGEMUTH</t>
  </si>
  <si>
    <t>200652/2018-01</t>
  </si>
  <si>
    <t>NÚBIA ROSANE PEREIRA DE ÁVILA</t>
  </si>
  <si>
    <t>200704/2018-31</t>
  </si>
  <si>
    <t>ARMANDO JOSÉ GASS</t>
  </si>
  <si>
    <t>200689/2018-21</t>
  </si>
  <si>
    <t>200691/2018-09</t>
  </si>
  <si>
    <t>200551/2018-22</t>
  </si>
  <si>
    <t>CAMPINAS X POA X CAMPINAS</t>
  </si>
  <si>
    <t>200494/2018-81</t>
  </si>
  <si>
    <t>200492/2018-92</t>
  </si>
  <si>
    <t>200480/2018-68</t>
  </si>
  <si>
    <t>200489/2018-79</t>
  </si>
  <si>
    <t>200749/2018-14</t>
  </si>
  <si>
    <t>ROSANE PAIXÃO SCHLATTER</t>
  </si>
  <si>
    <t>POA X VANCOUVER (CAN) X POA</t>
  </si>
  <si>
    <t>Mai/Jun</t>
  </si>
  <si>
    <t>200835/2018-19</t>
  </si>
  <si>
    <t>LÚCIA COELHO COSTA NOBRE</t>
  </si>
  <si>
    <t>200828/2018-17</t>
  </si>
  <si>
    <t>PATRICIA DE AZEVEDO BACH RADIN</t>
  </si>
  <si>
    <t>200823/2018-94</t>
  </si>
  <si>
    <t>SILVIA WEIGERT MENNA BARRETO</t>
  </si>
  <si>
    <t>200822/2018-40</t>
  </si>
  <si>
    <t>ALEXANDRE BACELAR</t>
  </si>
  <si>
    <t>200821/2018-03</t>
  </si>
  <si>
    <t>ROCHELLE LYKAWKA</t>
  </si>
  <si>
    <t>200962/2018-18</t>
  </si>
  <si>
    <t>TIAGO ELIAS ROSITO</t>
  </si>
  <si>
    <t>200859/2018-78</t>
  </si>
  <si>
    <t>200485/2018-91</t>
  </si>
  <si>
    <t>200487/2018-80</t>
  </si>
  <si>
    <t>200488/2018-24</t>
  </si>
  <si>
    <t>ANDRÉ LUIZ VALENTE MAYRINK</t>
  </si>
  <si>
    <t>200981/2018-44</t>
  </si>
  <si>
    <t>MARIA TERESA PEREIRA LIMA ( Assembléia Geral )</t>
  </si>
  <si>
    <t>BSB X POA X RJ</t>
  </si>
  <si>
    <t>201003/2018-10</t>
  </si>
  <si>
    <t>HELENA BARRETO DOS SANTOS</t>
  </si>
  <si>
    <t>200995/2018-68</t>
  </si>
  <si>
    <t>MATHEUS LORENZONI CRUZ</t>
  </si>
  <si>
    <t>201032/2018-81</t>
  </si>
  <si>
    <t>JORGE LUIS BAJERSKI</t>
  </si>
  <si>
    <t>201082/2018-69</t>
  </si>
  <si>
    <t>201077/2018-56</t>
  </si>
  <si>
    <t>201073/2018-78</t>
  </si>
  <si>
    <t>DAYANNA MACHADO PIRES LEMOS</t>
  </si>
  <si>
    <t>GRAZZIELA TORRES</t>
  </si>
  <si>
    <t>201852/2018-73</t>
  </si>
  <si>
    <t>DENISE SEVERO DOS SANTOS</t>
  </si>
  <si>
    <t>201453/2018-11</t>
  </si>
  <si>
    <t>ALEXANDRE CAIRO</t>
  </si>
  <si>
    <t>201588/2018-78</t>
  </si>
  <si>
    <t>201604/2018-22</t>
  </si>
  <si>
    <t>202529/2018-17</t>
  </si>
  <si>
    <t>TANISE VENDRUSCOLO DALMOLIN</t>
  </si>
  <si>
    <t>MANAUS X ATLANTA X MANAUS</t>
  </si>
  <si>
    <t>201514/2018-31</t>
  </si>
  <si>
    <t>BSB X POA X CGH</t>
  </si>
  <si>
    <t>201899/2018-37</t>
  </si>
  <si>
    <t>SP X POA X SP</t>
  </si>
  <si>
    <t>201771/2018-73</t>
  </si>
  <si>
    <t>202065/2018-49</t>
  </si>
  <si>
    <t>DIEGO LEMOS SILVEIRA</t>
  </si>
  <si>
    <t>201512/2018-42</t>
  </si>
  <si>
    <t>202286/2018-17</t>
  </si>
  <si>
    <t>202223/2018-61</t>
  </si>
  <si>
    <t>202184/2018-00</t>
  </si>
  <si>
    <t>202225/2018-50</t>
  </si>
  <si>
    <t>202228/2018-93</t>
  </si>
  <si>
    <t>LIGIA VENTURA</t>
  </si>
  <si>
    <t>202227/2018-49</t>
  </si>
  <si>
    <t>ANA PAULA COUTINHO</t>
  </si>
  <si>
    <t>201914/2018-47</t>
  </si>
  <si>
    <t>TATIANA SEEFELD</t>
  </si>
  <si>
    <t>201960/2018-46</t>
  </si>
  <si>
    <t>202275/2018-37</t>
  </si>
  <si>
    <t>POA X JOÃO PESSOA X POA</t>
  </si>
  <si>
    <t>202537/2018-63</t>
  </si>
  <si>
    <t>BRUNO ANDRADE SALDANHA</t>
  </si>
  <si>
    <t>POA X RJ X POA</t>
  </si>
  <si>
    <t>202538/2018-16</t>
  </si>
  <si>
    <t>THALITA SILVA JACOBY</t>
  </si>
  <si>
    <t>202533/2018-85</t>
  </si>
  <si>
    <t>GRAZIELA CRISTINE GOERCK</t>
  </si>
  <si>
    <t>202492/2018-27</t>
  </si>
  <si>
    <t>PAULO ROBERTO STEFANI SANCHES</t>
  </si>
  <si>
    <t>POA X PRAGA X POA</t>
  </si>
  <si>
    <t>202495/2018-61</t>
  </si>
  <si>
    <t>ANDRÉ FROTTA MULLER</t>
  </si>
  <si>
    <t>202494/2018-16</t>
  </si>
  <si>
    <t>DANTON PEREIRA DA SILVA JR.</t>
  </si>
  <si>
    <t>202629/2018-43</t>
  </si>
  <si>
    <t>202080/2018-97</t>
  </si>
  <si>
    <t>RENATO GORGA BANDEIRA DE MELLO</t>
  </si>
  <si>
    <t>MARIANO MONTENEGRO CORONA</t>
  </si>
  <si>
    <t>SANTIAGO X POA X SANTIAGO</t>
  </si>
  <si>
    <t>Jun/Jul</t>
  </si>
  <si>
    <t>GABRIEL ROSSI GONNET</t>
  </si>
  <si>
    <t>MONTEVIDÉO X POA X MONTEVIDÉO</t>
  </si>
  <si>
    <t>POA X CURITIBA X POA</t>
  </si>
  <si>
    <t>202734/2018-82</t>
  </si>
  <si>
    <t>202765/2018-33</t>
  </si>
  <si>
    <t xml:space="preserve">BSB X POA X BSB </t>
  </si>
  <si>
    <t>201732/2018-76</t>
  </si>
  <si>
    <t>JOSÉ GERALDO LOPES RAMOS</t>
  </si>
  <si>
    <t>202768/2018-77</t>
  </si>
  <si>
    <t>202900/2018-41</t>
  </si>
  <si>
    <t>202938/2018-13</t>
  </si>
  <si>
    <t>202943/2018-26</t>
  </si>
  <si>
    <t>202770/2018-46</t>
  </si>
  <si>
    <t>203176/2018-72</t>
  </si>
  <si>
    <t>RAQUEL DE BONI</t>
  </si>
  <si>
    <t>RJ X POA X RJ</t>
  </si>
  <si>
    <t>MARCELO ARAÚJO RIBEIRO</t>
  </si>
  <si>
    <t>203102/2018-36</t>
  </si>
  <si>
    <t>JOÃO ANTÔNIO PAIM RODRIGUES</t>
  </si>
  <si>
    <t>POA X SALVADOR X POA</t>
  </si>
  <si>
    <t>203098/2018-14</t>
  </si>
  <si>
    <t>202771/2018-91</t>
  </si>
  <si>
    <t>BH X POA X SP</t>
  </si>
  <si>
    <t>203462/2018-38</t>
  </si>
  <si>
    <t>POA X IIJUI X POA</t>
  </si>
  <si>
    <t>203463/2018-82</t>
  </si>
  <si>
    <t>203367/2018-34</t>
  </si>
  <si>
    <t>FERNANDA CECILIA DOS SANTOS</t>
  </si>
  <si>
    <t>203429/2018-16</t>
  </si>
  <si>
    <t>JANAYNA RODEMBUCH BORBA</t>
  </si>
  <si>
    <t>202681/2018-08</t>
  </si>
  <si>
    <t>LÚCIA COELHO DA COSTA NOBRE</t>
  </si>
  <si>
    <t>202682/2018-44</t>
  </si>
  <si>
    <t>203406/2018-01</t>
  </si>
  <si>
    <t>LEONARDO GOMES MOREIRA</t>
  </si>
  <si>
    <t>203707/2018-27</t>
  </si>
  <si>
    <t>MARCO AURÉLIO CAMARGO DA ROSA</t>
  </si>
  <si>
    <t>BH X POA X BH</t>
  </si>
  <si>
    <t xml:space="preserve">202491/2018-82 </t>
  </si>
  <si>
    <t>FLÁVIO DE MEDEIROS HORTA</t>
  </si>
  <si>
    <t>203466/2018-16</t>
  </si>
  <si>
    <t>NÚBIA ROSANE PEREIRA ÁVILA</t>
  </si>
  <si>
    <t>203528/2018-90</t>
  </si>
  <si>
    <t>203395/2018-51</t>
  </si>
  <si>
    <t>TÂNIA PINHEIRO PROENÇA</t>
  </si>
  <si>
    <t>203796/2018-10</t>
  </si>
  <si>
    <t>203522/2018-12</t>
  </si>
  <si>
    <t>203842/2018-72</t>
  </si>
  <si>
    <t>203841/2018-28</t>
  </si>
  <si>
    <t>203840/2018-83</t>
  </si>
  <si>
    <t>203839/2018-59</t>
  </si>
  <si>
    <t>BETINA FRANCO</t>
  </si>
  <si>
    <t>204330/2018-23</t>
  </si>
  <si>
    <t>LUIZ GUSTAVO DE OLIVEIRA BARROS</t>
  </si>
  <si>
    <t>J.PESSOA X POA X J. PESSOA</t>
  </si>
  <si>
    <t>204306/2018-94</t>
  </si>
  <si>
    <t>204216/2018-01</t>
  </si>
  <si>
    <t>203062/2018-22</t>
  </si>
  <si>
    <t>203064/2018-11</t>
  </si>
  <si>
    <t>203342/2018-31</t>
  </si>
  <si>
    <t>203566/2018-42</t>
  </si>
  <si>
    <t>204258/2018-34</t>
  </si>
  <si>
    <t>GUSTAVO CAMILO BAPTISTA</t>
  </si>
  <si>
    <t>204728/2018-60</t>
  </si>
  <si>
    <t>ELIANE TERESINHA BERBIGIER</t>
  </si>
  <si>
    <t>203.419/2018-72</t>
  </si>
  <si>
    <t> JAMILA IVANISE GRIGOLO.</t>
  </si>
  <si>
    <t>205200/2018-16</t>
  </si>
  <si>
    <t>205172/2018-29</t>
  </si>
  <si>
    <t>205385/2018-51</t>
  </si>
  <si>
    <t>205417/2018-18</t>
  </si>
  <si>
    <t>205418/2018-62</t>
  </si>
  <si>
    <t>GUSTAVO  SALOMÃO PINTO</t>
  </si>
  <si>
    <t>205407/2018-82</t>
  </si>
  <si>
    <t>Jul/Ago</t>
  </si>
  <si>
    <t>205472/2018-16</t>
  </si>
  <si>
    <t>205478/2018-85</t>
  </si>
  <si>
    <t>MANUEL DOS ANJOS MARQUES TEIXEIRA</t>
  </si>
  <si>
    <t>204.811/2018-39</t>
  </si>
  <si>
    <t>RUSSEL  JENNINGS</t>
  </si>
  <si>
    <t>USA X POA X USA</t>
  </si>
  <si>
    <t>205529/2018-79</t>
  </si>
  <si>
    <t>FLÁVIO NEI GONZALES SENNA</t>
  </si>
  <si>
    <t>POA X CONGONHAS(MG)XPOA</t>
  </si>
  <si>
    <t>205511/2018-77</t>
  </si>
  <si>
    <t>205549/2018-40</t>
  </si>
  <si>
    <t>RICARDO DE SOUZA KUCHENBECKER</t>
  </si>
  <si>
    <t>204948/2018-93</t>
  </si>
  <si>
    <t>FERNANDA SALES LUIZ VIANNA</t>
  </si>
  <si>
    <t>205372/2018-81</t>
  </si>
  <si>
    <t>POA X F. DO IGUAÇU X POA</t>
  </si>
  <si>
    <t>205849/2018-29</t>
  </si>
  <si>
    <t>MARIANA GALVÃO LOPES RIBERG</t>
  </si>
  <si>
    <t>205855/2018-86</t>
  </si>
  <si>
    <t>205846/2018-95</t>
  </si>
  <si>
    <t>JAQUELINE BIANCHINI CONSOLI</t>
  </si>
  <si>
    <t>205767/2018-84</t>
  </si>
  <si>
    <t>JOSÉ RICARDO GUIMARÃES</t>
  </si>
  <si>
    <t>205798/2018-35</t>
  </si>
  <si>
    <t>205596/2018-93</t>
  </si>
  <si>
    <t>MARIZELDA APARECIDA SOARES LUIZ</t>
  </si>
  <si>
    <t>205832/2018-71</t>
  </si>
  <si>
    <t>CARINA MACHADO COSTAMILAN HENRIQUES</t>
  </si>
  <si>
    <t>206135/2018-38</t>
  </si>
  <si>
    <t>PATRICK FOGASSO MARTINS</t>
  </si>
  <si>
    <t>205505/2018-10</t>
  </si>
  <si>
    <t>206193/2018-61</t>
  </si>
  <si>
    <t>ADRIANA VIGNOLI</t>
  </si>
  <si>
    <t>206272/2018-72</t>
  </si>
  <si>
    <t>206329/2018-33</t>
  </si>
  <si>
    <t>206325/2018-55</t>
  </si>
  <si>
    <t>206352/2018-28</t>
  </si>
  <si>
    <t>ANELISE KLEIN PEREIRA</t>
  </si>
  <si>
    <r>
      <t xml:space="preserve"> </t>
    </r>
    <r>
      <rPr>
        <sz val="14"/>
        <color indexed="8"/>
        <rFont val="Arial"/>
        <family val="2"/>
      </rPr>
      <t>RESUMO DAS DESPESAS COM VIAGENS - 2018</t>
    </r>
    <r>
      <rPr>
        <b/>
        <sz val="14"/>
        <color indexed="8"/>
        <rFont val="Arial"/>
        <family val="2"/>
      </rPr>
      <t xml:space="preserve"> </t>
    </r>
  </si>
  <si>
    <t>MÊS</t>
  </si>
  <si>
    <t>JANEIRO</t>
  </si>
  <si>
    <t>FEVEREIRO</t>
  </si>
  <si>
    <t>MARÇO</t>
  </si>
  <si>
    <t>ABRIL</t>
  </si>
  <si>
    <t>MAIO</t>
  </si>
  <si>
    <t>JUNHO</t>
  </si>
  <si>
    <t>JULHO</t>
  </si>
  <si>
    <t>AGOSTO</t>
  </si>
  <si>
    <t>SETEMBRO</t>
  </si>
  <si>
    <t>OUTUBRO</t>
  </si>
  <si>
    <t>NOVEMBRO</t>
  </si>
  <si>
    <t>DEZEMBRO</t>
  </si>
  <si>
    <t>TOTAL ANO</t>
  </si>
  <si>
    <t>VALOR TOTAL MENSAL</t>
  </si>
  <si>
    <t>Conferência</t>
  </si>
  <si>
    <t xml:space="preserve">LOCOMOÇÃO  ( TÁXI ) </t>
  </si>
  <si>
    <t>REEMBOLSO</t>
  </si>
  <si>
    <t>LOCOMOÇÃO TERRESTRE</t>
  </si>
  <si>
    <t>ALIMENTAÇÃO</t>
  </si>
  <si>
    <t>OUTROS</t>
  </si>
  <si>
    <t>CONTRATO ( LICITAÇÃO )</t>
  </si>
  <si>
    <t>*</t>
  </si>
  <si>
    <t>Tx. Adm. Contrato</t>
  </si>
  <si>
    <t>CONTRATO LICITAÇÃO</t>
  </si>
  <si>
    <t>CONTRATO - LICITAÇÃO</t>
  </si>
  <si>
    <t xml:space="preserve"> LOCOMOÇÃO TERRESTRE</t>
  </si>
  <si>
    <t>205590/2018-16</t>
  </si>
  <si>
    <t>205685/2018-30</t>
  </si>
  <si>
    <t>205678/2018-38</t>
  </si>
  <si>
    <t>205754/2018-13</t>
  </si>
  <si>
    <t>DANTON PEREIRA DA SILVA JUNIOR</t>
  </si>
  <si>
    <t>BRUNO RODRIGUEZ TONDIN</t>
  </si>
  <si>
    <t>206515/2018-72</t>
  </si>
  <si>
    <t>206550/2018-91</t>
  </si>
  <si>
    <t>206570/2018-62</t>
  </si>
  <si>
    <t>206572/2018-51</t>
  </si>
  <si>
    <t>206606/2018-16</t>
  </si>
  <si>
    <t>206486/2018-49</t>
  </si>
  <si>
    <t>206473/2018-70</t>
  </si>
  <si>
    <t>206470/2018-36</t>
  </si>
  <si>
    <t>206468/2018-67</t>
  </si>
  <si>
    <t>206463/2018-34</t>
  </si>
  <si>
    <t>206459/2018-76</t>
  </si>
  <si>
    <t>206590/2018-33</t>
  </si>
  <si>
    <t>206795/2018-19</t>
  </si>
  <si>
    <t>206878/2018-16</t>
  </si>
  <si>
    <t>206924/2018-79</t>
  </si>
  <si>
    <t>206902/2018-17</t>
  </si>
  <si>
    <t>207006/2018-67</t>
  </si>
  <si>
    <t>206955/2018-20</t>
  </si>
  <si>
    <t>207115/2018-84</t>
  </si>
  <si>
    <t>207113/2018-95</t>
  </si>
  <si>
    <t>GUILHERME LEAL CÂMARA</t>
  </si>
  <si>
    <t>ELIZIANE FERRANTI</t>
  </si>
  <si>
    <t>BEATRIZ D'AGORD SCHAAN</t>
  </si>
  <si>
    <t>MORGANA PESCADOR DE CAMARGO</t>
  </si>
  <si>
    <t>SIMONE MARIA SCHENATTO</t>
  </si>
  <si>
    <t>JOÃO CARLOS BATISTA SANTANA</t>
  </si>
  <si>
    <t>JORGE LUIZ BAJERSKI</t>
  </si>
  <si>
    <t>GIORDANNA GUERRA ANDRIOLI</t>
  </si>
  <si>
    <t>CARLA CRISTINE COSTA</t>
  </si>
  <si>
    <t>POA X RIO GRANDE X POA</t>
  </si>
  <si>
    <t>THAIS CAPAVERDE CARINI</t>
  </si>
  <si>
    <t>ELOISA BACH</t>
  </si>
  <si>
    <t>POA X CAMPINAS X POA</t>
  </si>
  <si>
    <t>LEILA BELTRAMI MOREIRA</t>
  </si>
  <si>
    <t>LUIS EVERALDO DE FREITAS VARGAS</t>
  </si>
  <si>
    <t>FRANCINE CRUZ DE CERQUEIRA LIMA ( Convidado )</t>
  </si>
  <si>
    <t>LISIA VON DIEMEN ( Convidado )</t>
  </si>
  <si>
    <t>SITUAÇÃO DAS DESPESAS</t>
  </si>
  <si>
    <t xml:space="preserve"> FECHADO</t>
  </si>
  <si>
    <t>EX.: PASSAGENS COMPRADAS EM UM MÊS PARA SEREM REALIZADAS EM OUTRO.</t>
  </si>
  <si>
    <t>A FIM DE GERAR ECONOMIA.</t>
  </si>
  <si>
    <r>
      <rPr>
        <b/>
        <sz val="11"/>
        <color theme="1"/>
        <rFont val="Calibri"/>
        <family val="2"/>
        <scheme val="minor"/>
      </rPr>
      <t>FECHADO</t>
    </r>
    <r>
      <rPr>
        <sz val="11"/>
        <color theme="1"/>
        <rFont val="Calibri"/>
        <family val="2"/>
        <scheme val="minor"/>
      </rPr>
      <t>: TODAS AS DESPESAS LANÇADAS.</t>
    </r>
  </si>
  <si>
    <r>
      <rPr>
        <b/>
        <sz val="11"/>
        <color theme="1"/>
        <rFont val="Calibri"/>
        <family val="2"/>
        <scheme val="minor"/>
      </rPr>
      <t>PARCIAL</t>
    </r>
    <r>
      <rPr>
        <sz val="11"/>
        <color theme="1"/>
        <rFont val="Calibri"/>
        <family val="2"/>
        <scheme val="minor"/>
      </rPr>
      <t>: FALTANDO VALORES Á SEREM LANÇADOS, DEVIDO Á FALTA DE COMPROVANTES.</t>
    </r>
  </si>
  <si>
    <t>AGUARDANDO DOCUMENTOS DE COBRANÇA</t>
  </si>
  <si>
    <t>207246/2018-61</t>
  </si>
  <si>
    <t>207267/2018-87</t>
  </si>
  <si>
    <t>207311/2018-59</t>
  </si>
  <si>
    <t>207306/2018-46</t>
  </si>
  <si>
    <t>207308/2018-35</t>
  </si>
  <si>
    <t>207309/2018-80</t>
  </si>
  <si>
    <t>207368/2018-58</t>
  </si>
  <si>
    <t>207451/2018-27</t>
  </si>
  <si>
    <t>207458/2018-49</t>
  </si>
  <si>
    <t>207051/2018-11</t>
  </si>
  <si>
    <t>206950/2018-05</t>
  </si>
  <si>
    <t>207591/2018-03</t>
  </si>
  <si>
    <t>207607/2018-70</t>
  </si>
  <si>
    <t>207792/2018-01</t>
  </si>
  <si>
    <t>205621/2018-39</t>
  </si>
  <si>
    <t>207571/2018-24</t>
  </si>
  <si>
    <t>207546/2018-41</t>
  </si>
  <si>
    <t>206214/2018-49</t>
  </si>
  <si>
    <t>206048/2018-81</t>
  </si>
  <si>
    <t>205785/2018-66</t>
  </si>
  <si>
    <t>207856/2018-65</t>
  </si>
  <si>
    <t>ANA PAULA DELIBERAL</t>
  </si>
  <si>
    <t>HENRIQUE SARTORI DE ALMEIDA PRADO</t>
  </si>
  <si>
    <t>DJACI VIEIRA DE SOUSA</t>
  </si>
  <si>
    <t>DANIEL FASOLO</t>
  </si>
  <si>
    <t>SILVIA HELENA OLIVEIRA DE ALMEIDA</t>
  </si>
  <si>
    <t>GUILHERME LEAL CAMARA</t>
  </si>
  <si>
    <t>CASSIANO ARISTIMUNHA DIAS</t>
  </si>
  <si>
    <t>PATRICIA LUCIANA DA COSTA LOPEZ</t>
  </si>
  <si>
    <t>MAURO ALMEIDA DE BARROS</t>
  </si>
  <si>
    <t>MILTON BERGER</t>
  </si>
  <si>
    <t>NINON GIRARDON DA ROSA</t>
  </si>
  <si>
    <t>CAMPO GRANDE X POA X BSB</t>
  </si>
  <si>
    <t>POA X FORTALEZA X POA</t>
  </si>
  <si>
    <t>208235/2018-07</t>
  </si>
  <si>
    <t>208193/2018-04</t>
  </si>
  <si>
    <t>208333/2018-36</t>
  </si>
  <si>
    <t>207724/2018-33</t>
  </si>
  <si>
    <t>208184/2018-13</t>
  </si>
  <si>
    <t>208192/2018-51</t>
  </si>
  <si>
    <t>208414/2018-36</t>
  </si>
  <si>
    <t>208426/2018-61</t>
  </si>
  <si>
    <t>208417/2018-70</t>
  </si>
  <si>
    <t>208444/2018-42</t>
  </si>
  <si>
    <t>208446/2018-31</t>
  </si>
  <si>
    <t>208443/2018-06</t>
  </si>
  <si>
    <t>POA X FLORIANÓPOLIS X POA</t>
  </si>
  <si>
    <t>MIGUELINA TROISI BONFRISCO</t>
  </si>
  <si>
    <t>LAIS MACIEL GUTERRES ZEILMANN</t>
  </si>
  <si>
    <t xml:space="preserve">            PLANILHA ATUALIZA EM: </t>
  </si>
  <si>
    <t>208752/2018-78</t>
  </si>
  <si>
    <t>208633/2018-15</t>
  </si>
  <si>
    <t>208590/2018-78</t>
  </si>
  <si>
    <t>208817/2018-85</t>
  </si>
  <si>
    <t>208853/2018-49</t>
  </si>
  <si>
    <t>208869/2018-51</t>
  </si>
  <si>
    <t>208905/2018-87</t>
  </si>
  <si>
    <t>208904/2018-32</t>
  </si>
  <si>
    <t>208903/2018-98</t>
  </si>
  <si>
    <t>208428/2018-50</t>
  </si>
  <si>
    <t>ROSANE GASPAR PETTER</t>
  </si>
  <si>
    <t>MARIA APARECIDA RUFFO MOTTA</t>
  </si>
  <si>
    <t>FRANCISCO WAYNE MOREIRA</t>
  </si>
  <si>
    <t>209160/2018-73</t>
  </si>
  <si>
    <t>209154/2018-16</t>
  </si>
  <si>
    <t>209158/2018-02</t>
  </si>
  <si>
    <t>209159/2018-49</t>
  </si>
  <si>
    <t>208980/2018-48</t>
  </si>
  <si>
    <t>208844/2018-58</t>
  </si>
  <si>
    <t>208984/2018-26</t>
  </si>
  <si>
    <t>209017/2018-81</t>
  </si>
  <si>
    <t>ANDRÉ MENA ÁVILA</t>
  </si>
  <si>
    <t>209020/2018-03</t>
  </si>
  <si>
    <t>209007/2018-46</t>
  </si>
  <si>
    <t>JOSÉ MIGUEL SILVA DORA</t>
  </si>
  <si>
    <t>209106/2018-28</t>
  </si>
  <si>
    <t>MARTA NASSIF PEREIRA LIMA</t>
  </si>
  <si>
    <t>POA X JUNDIAÍ X POA</t>
  </si>
  <si>
    <t>209090/2018-53</t>
  </si>
  <si>
    <t>208511/2018-29</t>
  </si>
  <si>
    <t>TAINÁ FLORES DA ROSA</t>
  </si>
  <si>
    <t>POA X SP XPOA</t>
  </si>
  <si>
    <t>208342/2018-27</t>
  </si>
  <si>
    <t>209320/2018-84</t>
  </si>
  <si>
    <t>HUGO GOULART DE OLIVEIRA</t>
  </si>
  <si>
    <t>209236/2018-61</t>
  </si>
  <si>
    <t>209631/2018-43</t>
  </si>
  <si>
    <t>209624/2018-41</t>
  </si>
  <si>
    <t>209629/2018-74</t>
  </si>
  <si>
    <t>LUIZ FERNANDO BOHM</t>
  </si>
  <si>
    <t>NEIVA TERESINHA FINATO</t>
  </si>
  <si>
    <t>200279/2018-81</t>
  </si>
  <si>
    <t>209188/2018-19</t>
  </si>
  <si>
    <t>CARGO</t>
  </si>
  <si>
    <t>MOTIVO DA VIAGEM</t>
  </si>
  <si>
    <t>MOTIVO DA VIAGEM - OCULTAR</t>
  </si>
  <si>
    <t>Nº  SEI - OCULTAR</t>
  </si>
  <si>
    <t>PARTICIPAR DE REUNIÃO NO CONSELHO FEDERAL DE MEDICINA PARA DISCUTIR A REVISÃO A RESOLUÇÃO CFM Nº 1955/2010, QUE DISPÕE SOBRE A CIRURGIA DE TRANSGENITALISMO. </t>
  </si>
  <si>
    <t>Reunião no Ministério do Planejamento, Desenvolvimento e Gestão - MP.</t>
  </si>
  <si>
    <t>Reunião do Conselho Diretor.</t>
  </si>
  <si>
    <t>Reunião com Dr. Rodrigo G.M. Silvestre, Diretor do DECIIS/SCTIE/MS (Departamento do Complexo Industrial e Inovação em Saúde).</t>
  </si>
  <si>
    <t>Reunião do Conselho Fiscal</t>
  </si>
  <si>
    <t xml:space="preserve">Participar de reunião  no MEC, Ministério da Saúde e PGFN em Brasilia </t>
  </si>
  <si>
    <t>Projeto AGHUse - Aeronáutica - Imersão para treinamento para implantação do AGHUse - módulos Exames, Prescrição, Enfermagem e Cirurgia, bem como validar o complemento cadastral dos medicamentos e retirar dúvidas negociais.</t>
  </si>
  <si>
    <t>MÉDICO PSIQUIATRA III</t>
  </si>
  <si>
    <t>PRESIDENTE.</t>
  </si>
  <si>
    <t>ASSESSOR DE ASSUNTOS INSTITUCIONAIS.</t>
  </si>
  <si>
    <t>COORDENADOR JURÍDICO</t>
  </si>
  <si>
    <t>CONSELHEIRO DIRETOR</t>
  </si>
  <si>
    <t>PROFESSOR CIRURGIA - IBIS.</t>
  </si>
  <si>
    <t>ASSESSOR.</t>
  </si>
  <si>
    <t>COORD DE FINANÇAS.</t>
  </si>
  <si>
    <t>CONSELHEIRA FISCAL</t>
  </si>
  <si>
    <t>CONSELHEIRO FISCAL</t>
  </si>
  <si>
    <t>ADVOGADO CÍVEL E FISCAL I.</t>
  </si>
  <si>
    <t>ANALISTA DE SEGURANÇA DA INFORMAÇÃO I</t>
  </si>
  <si>
    <t>ANALISTA DE NEGÓCIO I.</t>
  </si>
  <si>
    <t>Visita Técnica ao Hosp. Das Clínicas De SP e Sirio Libanês.</t>
  </si>
  <si>
    <t>Reunião - Audiência com o Secretário Nacional de Atenção à Saúde SAS/MS- "Programa de Tratamento da Falência Intestinal"</t>
  </si>
  <si>
    <t>Participar de  uma Audiência com o Secretário Nacional de Atenção à Saúde SAS/MS- Prof. Francisco de Assis Figueiredo.</t>
  </si>
  <si>
    <t>Negociação Programa de Reabilitação Intestinal. </t>
  </si>
  <si>
    <t>Participar da reunião no BNDES para prestação final de contas do Projeto AGHU.</t>
  </si>
  <si>
    <t>Participar de Reunião no BNDES, para entrega da última prestação de contas.AGHU.</t>
  </si>
  <si>
    <t>Reunião na SEST.</t>
  </si>
  <si>
    <t>Diagnóstico para implantação do AGHUse no HMAB - Hospital Militar de Área de Brasília, do Exército Brasileiro.</t>
  </si>
  <si>
    <t>Reunião na BB Previdênia.</t>
  </si>
  <si>
    <t> REUNIÃO DE ALINHAMENTO ESTRATÉGICO E ORIENTAÇÕES INSTITUCIONAIS - NEGOCIAÇÃO COLETIVA 2018 – HCPA             LOCAL: SEST - DEPARTAMENTO DE POLÍTICA DE PESSOAL E PREVIDÊNCIA COMPLEMENTAR DE ESTATAIS.</t>
  </si>
  <si>
    <t>Recredenciamento de Estágios em Clínica Médica - Hospital de Clínicas de Porto Alegre.</t>
  </si>
  <si>
    <t>CHEFE DO SERVIÇO DE COMPRAS</t>
  </si>
  <si>
    <t>CHEFE SERVIÇO DE PLANEJAMENTO DE SUPRIMENTOS</t>
  </si>
  <si>
    <t>COORD DE FINANÇAS</t>
  </si>
  <si>
    <t>PRESIDENTE</t>
  </si>
  <si>
    <t>CHEFE DO SERVIÇO DE PEDIATRIA</t>
  </si>
  <si>
    <t>COORDENADORIA DE GESTÃO DA TECNOLOGIA DA INFORMAÇÃO E COMUNICAÇÃO</t>
  </si>
  <si>
    <t>FUNCIONÁRIO FMRGS</t>
  </si>
  <si>
    <t>ADVOGADO GERAL I</t>
  </si>
  <si>
    <t>COORD DE SUPRIMENTOS</t>
  </si>
  <si>
    <t>SUPERVISOR DE OPERAÇÕES DE SISTEMAS</t>
  </si>
  <si>
    <t>PROFESSOR DE ENFERMAGEM</t>
  </si>
  <si>
    <t>ANALISTA DE NEGÓCIO I</t>
  </si>
  <si>
    <t>CHEFE DO SERVIÇO DE CONTABILIDADE GERENCIAL</t>
  </si>
  <si>
    <t>CHEFE DO SERVIÇO DE BENEFÍCIOS E APOSENTADORIAS</t>
  </si>
  <si>
    <t>COORD DE GESTÃO RISCOS INTEG CORPORAT.</t>
  </si>
  <si>
    <t>ASSESSOR DE ASSUNTOS INSTITUCIONAIS</t>
  </si>
  <si>
    <t xml:space="preserve">EROS ANTÔNIO ALMEIDA </t>
  </si>
  <si>
    <t>CONVIDADO EXTERNO</t>
  </si>
  <si>
    <t>reunião do conselho diretor</t>
  </si>
  <si>
    <t>ASSESSOR DE PESQUISA E PÓS-GRADUAÇÃO</t>
  </si>
  <si>
    <t>Apresentação de trabalho oral " Direct Costs of Ischemic Heart Disease: real World Data from Brazil" no Congresso HTAI 2018.</t>
  </si>
  <si>
    <t>Audiência Pública no Tribunal Superior do Trabalho.</t>
  </si>
  <si>
    <t>Reunião - Comissão para Estudo da Transexualidade / Conselho Federal de Medicina em Brasília.</t>
  </si>
  <si>
    <t>Reunião com a Controladoria do DF sobre o processo de punição da empresa CTIS.</t>
  </si>
  <si>
    <t>REUNIÃO DO CONSELHO FISCAL</t>
  </si>
  <si>
    <t>Reunião Assembléia Geral Extraordinária.</t>
  </si>
  <si>
    <t>PARTICIPAÇÃO COMO REPRESENTANTE CIENTÍFICO DO HCPA EM EVENTO NA FGV - QUALIHOSP 2018.</t>
  </si>
  <si>
    <t>Projeto AGHUse - Contrato Exército - Termo de Cooperação - visita para Criação dos Ambientes de Desenvolvimento, Homologação e Treinamento do AGHuse.</t>
  </si>
  <si>
    <t>Participar de Curso De Gestão e Apuração de Ética Pública promovido pela Secretaria Executiva da Comissão de Ética Pública da Presidência da República.</t>
  </si>
  <si>
    <t>Reunião Assembléia Geral.</t>
  </si>
  <si>
    <t>Reunião com o Presidentee da Ebserh, Assunto - BNDES - equipamentos de Informática</t>
  </si>
  <si>
    <t>ADVOGADO TRABALHISTA III</t>
  </si>
  <si>
    <t>CHEFE DO SV DE DIREITO DO TRABALHO E PREV SOCIAL</t>
  </si>
  <si>
    <t>ADVOGADO TRABALHISTA I</t>
  </si>
  <si>
    <t>CHEFE DO SERVIÇO DE FÍSICA MÉDICA E RADIOPROTEÇÃO</t>
  </si>
  <si>
    <t>FÍSICO DA FÍS MÉDICA E RADIOPROTEÇÃO (GERAL) II</t>
  </si>
  <si>
    <t>CHEFE DE SERVIÇO MÉDICO - PROFESSOR</t>
  </si>
  <si>
    <t>PROCURADORA GERAL DA FAZENDA NACIONAL</t>
  </si>
  <si>
    <t>ASSESSOR MÉDICO OPERAÇÕES ASSISTENCIAIS - QUALIS</t>
  </si>
  <si>
    <t>ANALISTA DE DESENVOLVIMENTO DE TI I</t>
  </si>
  <si>
    <t>DIRETOR ADMINISTRATIVO</t>
  </si>
  <si>
    <t>COORDENADOR HOTELARIA</t>
  </si>
  <si>
    <t>PROCURADOR GERAL DA FAZENDA NACIONAL</t>
  </si>
  <si>
    <t>PESQUISADORA</t>
  </si>
  <si>
    <r>
      <t>Referente à premiação para a melhor apresentação oral na 37ª Semana Científica do Hospital de Clínicas de Porto Alegre, no valor máximo de USD 1.500,00, para participar do evento </t>
    </r>
    <r>
      <rPr>
        <b/>
        <sz val="8"/>
        <color indexed="8"/>
        <rFont val="Arial"/>
        <family val="2"/>
      </rPr>
      <t>ASM Microbe 2018</t>
    </r>
    <r>
      <rPr>
        <sz val="8"/>
        <color indexed="8"/>
        <rFont val="Arial"/>
        <family val="2"/>
      </rPr>
      <t>, que ocorrerá em Atlanta, nos Estado Unidos, no período de 06 a 11 de junho de 2018. VERBA FIPE</t>
    </r>
  </si>
  <si>
    <t>Participar do Grand Round - Guia Alimentar, como palestrante, no período de 12 a 13/06/2018.</t>
  </si>
  <si>
    <t>Participar de  capacitação Compliance Across Américas</t>
  </si>
  <si>
    <t>Atualização referente aos novos procedimentos a serem utilizados pelos gestores para contabilização das retenções e encargos patronais previdenciários, atualmente recolhidos por GPS e que passarão a ser recolhidos por DARF numerado.</t>
  </si>
  <si>
    <t>Reunião no Gabinete da Secretaria Executiva do MEC para tratar assunto referente a  obras dos Anexos I e II</t>
  </si>
  <si>
    <t>Para participar de Reunião Executiva no Ministério da Educação-MEC</t>
  </si>
  <si>
    <t>Reunião MEC - Estatuto HCPA</t>
  </si>
  <si>
    <t>PARTICIPAR DO 1º FÓRUM DE DISCUSSÃO DA CGPAR RESOLUÇÕES Nº 22 E 23</t>
  </si>
  <si>
    <t>Participar do 1º Fórum de Discussão - Resoluções CGPAR nº 22 e nº 23 no Ministério do Planejamento</t>
  </si>
  <si>
    <t>PARTICIPAR DO 16º FÓRUM BRASILEIRO DE CONTRATAÇÃO E GESTÃO PÚBLICA</t>
  </si>
  <si>
    <t>ENCONTRO DO COLÉGIO DE PROCURADORES 2018</t>
  </si>
  <si>
    <t>Visita ao Americas Medical City para visualizar o sistema de correio pneumático.</t>
  </si>
  <si>
    <t>Participação no World Congress on Medical Physics and Biomedical Engineering 2018 na cidade de Praga durante o período de 01/06/2018 a 10/06/2018. Conforme previsto no projeto Finep Neuroeng.</t>
  </si>
  <si>
    <t>Reunião: Comissão Nacional de Residência Médica</t>
  </si>
  <si>
    <t>Participar de Curso Obrigatório de Gestão e Apuração da Ética Pública para membro da Comissão de Ética Pública do HCPA</t>
  </si>
  <si>
    <t>CONVIDADO EXTERNO ( PALESTRANTE )</t>
  </si>
  <si>
    <t xml:space="preserve">CARLOS AUGUSTO MONTEIRO </t>
  </si>
  <si>
    <t>CHEFE DO SERVIÇO DE CONTABILIDADE FISCAL</t>
  </si>
  <si>
    <t>COORDENADOR FINANCEIRO</t>
  </si>
  <si>
    <t>COORDENADOR JURIDICO</t>
  </si>
  <si>
    <t> ASSESSOR ADJUNTO EXECUTIVO</t>
  </si>
  <si>
    <t>ADVOGADO (GERAL) I</t>
  </si>
  <si>
    <t>ADVOGADO CÍVEL E FISCAL I</t>
  </si>
  <si>
    <t>CHEFE DO SERVIÇO DE ENGENHARIA ELETROMECÂNICA</t>
  </si>
  <si>
    <t>CHEFE DO SERVIÇO DE FARMÁCIA</t>
  </si>
  <si>
    <t>CHEFE DO SERVIÇO DE CONTROLE E DIST DE SUPRIMENTOS</t>
  </si>
  <si>
    <t>CHEFE DO SERVIÇO PESQ DESENV ENG BIOMÉDICA</t>
  </si>
  <si>
    <t>ENGENHEIRO ELETRICISTA (PESQUISA) II</t>
  </si>
  <si>
    <t>PROFESSOR DE MEDICINA</t>
  </si>
  <si>
    <t>COORDENADOR DE SUPRIMENTOS</t>
  </si>
  <si>
    <t>COORDENADOR DE GESTÃO DE PESSOAS</t>
  </si>
  <si>
    <t>Nº  SEI  - OCULTAR</t>
  </si>
  <si>
    <t>Recebimento formal da 2ª Certificação do Indicador de Governança IG-SEST</t>
  </si>
  <si>
    <t>Representar a instituição como Pró-Reitor de Ensino no seminário intitulado: "Orientações para a elaboração de propostas de cursos novos", promovido pela Coordenação de Aperfeiçoamento de Pessoal de Nível Superior (CAPES) e o Fórum Nacional de Pró-Reitores de Pesquisa e Pós-Graduação (FOPROP).</t>
  </si>
  <si>
    <t>Reunião no Ministério do Planejamento</t>
  </si>
  <si>
    <t>Participar da Assembleia Geral Ordinária da Abrahue.</t>
  </si>
  <si>
    <t>Participar do Simpósio do Mestrado Profissional em Álcool e Outras Drogas SENAD.</t>
  </si>
  <si>
    <t>Visita às dependências do Hospital Geral Roberto Santos da SESAB para possível implantação do AGHUse,  por orientação da Presidente do HCPA.</t>
  </si>
  <si>
    <t>Capacitação das equipes que de saúde e hospitalar que receberão a paciente internada no HCPA no pós-alta.</t>
  </si>
  <si>
    <t>Participação no Seminário sobre Hermenêutica Constitucional e Direito Social. </t>
  </si>
  <si>
    <t>Visita a Feira Hospitalar 2018</t>
  </si>
  <si>
    <t> PROFESSOR DE MEDICINA</t>
  </si>
  <si>
    <t>PALESTRANTE CONVIDADA</t>
  </si>
  <si>
    <t>COORD DA COORDENADORIA ADMINISTRATIVA</t>
  </si>
  <si>
    <t>CHEFE DO SERVIÇO DE GESTÃO DE TECNOLOGIA</t>
  </si>
  <si>
    <t>ENFERMEIRO</t>
  </si>
  <si>
    <t>MÉDICO INTENSIVISTA</t>
  </si>
  <si>
    <t>FISIOTERAPEUTA DA INTERNAÇÃO ADULTO I</t>
  </si>
  <si>
    <t>FISIOTERAPEUTA - R2</t>
  </si>
  <si>
    <t>PALESTRANTE CONVIDADO</t>
  </si>
  <si>
    <r>
      <t xml:space="preserve"> SIC - </t>
    </r>
    <r>
      <rPr>
        <sz val="14"/>
        <color indexed="8"/>
        <rFont val="Arial"/>
        <family val="2"/>
      </rPr>
      <t>RELAÇÃO DE VIAGENS  - MAIO 2018</t>
    </r>
    <r>
      <rPr>
        <b/>
        <sz val="14"/>
        <color indexed="8"/>
        <rFont val="Arial"/>
        <family val="2"/>
      </rPr>
      <t xml:space="preserve"> </t>
    </r>
  </si>
  <si>
    <r>
      <t xml:space="preserve"> SIC - </t>
    </r>
    <r>
      <rPr>
        <sz val="14"/>
        <color indexed="8"/>
        <rFont val="Arial"/>
        <family val="2"/>
      </rPr>
      <t>RELAÇÃO DE VIAGENS  - ABRIL 2018</t>
    </r>
    <r>
      <rPr>
        <b/>
        <sz val="14"/>
        <color indexed="8"/>
        <rFont val="Arial"/>
        <family val="2"/>
      </rPr>
      <t xml:space="preserve"> </t>
    </r>
  </si>
  <si>
    <r>
      <t xml:space="preserve"> SIC - </t>
    </r>
    <r>
      <rPr>
        <sz val="14"/>
        <color indexed="8"/>
        <rFont val="Arial"/>
        <family val="2"/>
      </rPr>
      <t>RELAÇÃO DE VIAGENS  - MARÇO 2018</t>
    </r>
    <r>
      <rPr>
        <b/>
        <sz val="14"/>
        <color indexed="8"/>
        <rFont val="Arial"/>
        <family val="2"/>
      </rPr>
      <t xml:space="preserve"> </t>
    </r>
  </si>
  <si>
    <r>
      <t xml:space="preserve"> SIC - </t>
    </r>
    <r>
      <rPr>
        <sz val="14"/>
        <color indexed="8"/>
        <rFont val="Arial"/>
        <family val="2"/>
      </rPr>
      <t>RELAÇÃO DE VIAGENS  - FEVEREIRO 2018</t>
    </r>
    <r>
      <rPr>
        <b/>
        <sz val="14"/>
        <color indexed="8"/>
        <rFont val="Arial"/>
        <family val="2"/>
      </rPr>
      <t xml:space="preserve"> </t>
    </r>
  </si>
  <si>
    <r>
      <t xml:space="preserve"> SIC - </t>
    </r>
    <r>
      <rPr>
        <sz val="14"/>
        <color indexed="8"/>
        <rFont val="Arial"/>
        <family val="2"/>
      </rPr>
      <t>RELAÇÃO DE VIAGENS  - JANEIRO 2018</t>
    </r>
  </si>
  <si>
    <t>Participação no curso Auditoria de Obras Públicas realizado nos dias 26/06/2018 a 27/06/2018</t>
  </si>
  <si>
    <t>Participar do 1º encontro entre Patrocinadoras e Instituidores - BB Previdência.</t>
  </si>
  <si>
    <t>Participação no evento: Diálogo Público - A Nova Lei das Estatais: Interpretação e aplicação do art. 28 da Lei 13.303/2016.</t>
  </si>
  <si>
    <t>Participar de Reunião no  TCU com o  Ministro Aroldo Cedraz.</t>
  </si>
  <si>
    <t>Reunião do Conselho Fiscal.</t>
  </si>
  <si>
    <t>Participar como Palestrante na Aula inaugural do Mestrado Profissional em Pesquisa Clínica na Terceira Turma.</t>
  </si>
  <si>
    <t>Assembléia Geral.</t>
  </si>
  <si>
    <r>
      <t xml:space="preserve"> SIC - </t>
    </r>
    <r>
      <rPr>
        <sz val="14"/>
        <color indexed="8"/>
        <rFont val="Arial"/>
        <family val="2"/>
      </rPr>
      <t>RELAÇÃO DE VIAGENS  - JUNHO 2018</t>
    </r>
  </si>
  <si>
    <t>ANALISTA DE AUDITORIA I</t>
  </si>
  <si>
    <t>COORDENADORA DE SUPRIMENTOS</t>
  </si>
  <si>
    <t>CHEFE DO SV DE DIREITO ADM LICIT CONTR E CONVÊNIOS</t>
  </si>
  <si>
    <r>
      <t xml:space="preserve"> SIC - </t>
    </r>
    <r>
      <rPr>
        <sz val="14"/>
        <color indexed="8"/>
        <rFont val="Arial"/>
        <family val="2"/>
      </rPr>
      <t>RELAÇÃO DE VIAGENS  - JULHO 2018</t>
    </r>
    <r>
      <rPr>
        <b/>
        <sz val="14"/>
        <color indexed="8"/>
        <rFont val="Arial"/>
        <family val="2"/>
      </rPr>
      <t xml:space="preserve"> </t>
    </r>
  </si>
  <si>
    <t>Participação de palestrante no I Simpósio do Mestrado Profissional em Prevenção e Assistência a Usuários de Álcool e Outras Drogas</t>
  </si>
  <si>
    <t>Treinamento Aeronáutica - Projeto AGHUse - Imersão para treinamento para implantação do AGHUse - módulos Internação, bem como validar o complemento cadastral e retirar dúvidas negociais.</t>
  </si>
  <si>
    <t>Partic. Workshop Metodologia Lean no Hospital Sirio Libanês - SP.</t>
  </si>
  <si>
    <t>REUNIÃO NO MINISTÉRIO DA FAZENDA E SEU/MEC PARA TRATAR ASSUNTO REFERENTE A ALTERAÇÕES NO ESTATUTO.</t>
  </si>
  <si>
    <t>REUNIÃO SESU/MEC E MINISTÉRIO DO PLANEJAMENTO, DESENVOLVIMENTO E GESTÃO - ALTERAÇÃO DO ESTATUTO DO HCPA.</t>
  </si>
  <si>
    <t>Para participar do Fórum de Líderes do Setor da Saúde. </t>
  </si>
  <si>
    <t>Visita ao Hospital Sirio Libanês</t>
  </si>
  <si>
    <t>Funcionário viajará para Bahia atendo ao previsto no Termo de Cooperação com a Secretaria da Saúde do Estado da Bahia, para visita à Companhia de Processamento de Dados do Estado da Bahia, visando a Criação dos Ambientes de Desenvolvimento, Homologação e Implantação do AGHUse.</t>
  </si>
  <si>
    <t>CHEFE DO SERV DE GERENC DAS INFORMAÇÕES SUS</t>
  </si>
  <si>
    <t>ASSIST ADM DE INCLUSÃO DIGITAL</t>
  </si>
  <si>
    <t>COORDENADOR DE GESTÃO DE RISCOS E INTEGRIDADE CORPORATIVA</t>
  </si>
  <si>
    <t>ANALISTA TI</t>
  </si>
  <si>
    <r>
      <t xml:space="preserve"> SIC - </t>
    </r>
    <r>
      <rPr>
        <sz val="14"/>
        <color indexed="8"/>
        <rFont val="Arial"/>
        <family val="2"/>
      </rPr>
      <t>RELAÇÃO DE VIAGENS  - AGOSTO 2018</t>
    </r>
  </si>
  <si>
    <t>O funcionário participará como Painelista, representando o HCPA, no 10º Edição do IT Forum.</t>
  </si>
  <si>
    <t>Participar  do Grand Round com o assunto: Etapas de Deaenvolvimento de um Laboratório de Pesquisa</t>
  </si>
  <si>
    <t>Audiência Reclamatória Trabalhista</t>
  </si>
  <si>
    <t>Participação no XXVI Congresso Brasileiro de Engenharia Biomédica</t>
  </si>
  <si>
    <t>Participar do I Fórum de Biobancos de Investigação Científica: Desafios e Oportunidades para alavancar a inovação tecnológica em saúde no Brasil</t>
  </si>
  <si>
    <t> Participar Congresso Governança, Controle Público e Gestão de Riscos nas Aquisições.</t>
  </si>
  <si>
    <t>Efetuar Treinamento Aeronáutica/Projeto AGHUse Imersão para treinamento para implantação do AGHUse</t>
  </si>
  <si>
    <t>Treinamento Aeronáutica - Projeto AGHUse - Imersão para treinamento para implantação do AGHUse - módulos Farmácia, Internação, Emergência, Prescrição Medica e de Enfermagem, Anamnese e Evolução, Controles do Paciente. </t>
  </si>
  <si>
    <t> Curso de Educação Profissional Técnica de Nível Médio para Registradores de Câncer.</t>
  </si>
  <si>
    <t>Capacitação e atualização no tema de Transformação Digital na prática em Gestão de Informações e documentos.</t>
  </si>
  <si>
    <t>Ministrar treinamento sobre AGHUse no Hospital Militar de Base de Brasília/DF </t>
  </si>
  <si>
    <t>Participação no evento: Como Realizar Licitações e Executar Contratos nas Empresa Estatais - Lei 13.303/16. </t>
  </si>
  <si>
    <t>Treinamento Exército Brasileiro - Projeto AGHUse - Módulo Colaborador.</t>
  </si>
  <si>
    <t>Treinamento Exército Brasileiro - Projeto AGHUse - Módulos Colaborador, Pacientes, Internação.</t>
  </si>
  <si>
    <t>Reunião na CGU</t>
  </si>
  <si>
    <t>REUNIÃO DO CONSELHO DIRETOR</t>
  </si>
  <si>
    <t>ASSIST ADM DO JURÍDICO - PREPOSTO</t>
  </si>
  <si>
    <t> ENGENHEIRO ELETRICISTA (PESQUISA) II</t>
  </si>
  <si>
    <t>BOLSISTA</t>
  </si>
  <si>
    <t>ADVOGADO TRABALHISTA II</t>
  </si>
  <si>
    <t>ASSISTENTE DE PESQUISA E ÉTICA I</t>
  </si>
  <si>
    <t>SUPERVISOR DE LOGÍSTICA DE MEDICAMENTOS</t>
  </si>
  <si>
    <t>CHEFE SV ADM ATENÇÃO MATERNO-INF.</t>
  </si>
  <si>
    <t>MEDICO III (ASSESSOR MEDICO DE OPERAÇÕES ASSISTENCIAIS - CIRURGIA</t>
  </si>
  <si>
    <t>ENFERMEIRO COMIS PROC ENFERMAGEM III</t>
  </si>
  <si>
    <t>ASSIST ADM DE INFORMAÇÕES EM SAÚDE</t>
  </si>
  <si>
    <t>ARQUIVISTA DA PATOLOGIA II</t>
  </si>
  <si>
    <t>ASSISTENTE ADMINISTRATIVO II</t>
  </si>
  <si>
    <t>COORDENADORA SUPRIMENTOS</t>
  </si>
  <si>
    <t>CHEFE DA SEÇÃO DE IDENTIFICAÇÃO</t>
  </si>
  <si>
    <t>CHEFE SERVIÇO DE SUPRIMENTOS</t>
  </si>
  <si>
    <t>CHEFE DO SERVIÇO ADM AUX AO DIAGNÓSTICO E TERAPIA</t>
  </si>
  <si>
    <t>CHEFE DE SERVIÇO ANALISE E CONTROLE</t>
  </si>
  <si>
    <t>Visita ao Assessor Técnico da Diretoria de Auditoria de Estatais do Ministério da Transparência e Controladoria-Geral da União, para tratar de assuntos relacionados ao novo Regulamento de Compras do HCPA, por solicitação da Diretoria Administrativa.</t>
  </si>
  <si>
    <t>reunião do conselho difretor</t>
  </si>
  <si>
    <t>ASSEMBLÉIA GERAL</t>
  </si>
  <si>
    <t>Participação Encontro com as Setoriais Contábeis do Governo Federal</t>
  </si>
  <si>
    <t>Ministrar Treinamento SESAB - Projeto AGHUse - Imersão para treinamento para implantação do AGHUse - módulos Cadastro de Colaboradores, Pacientes e Ambulatório Administrativo, bem como validar o complemento cadastral e retirar dúvidas negociais.</t>
  </si>
  <si>
    <t>Reunião  com a rede Intersetorial do município de Rio Grande</t>
  </si>
  <si>
    <r>
      <t>Participar do evento </t>
    </r>
    <r>
      <rPr>
        <b/>
        <sz val="8"/>
        <color indexed="8"/>
        <rFont val="Arial"/>
        <family val="2"/>
      </rPr>
      <t>PALESTRA ESCOLHAS ALIMENTARES</t>
    </r>
    <r>
      <rPr>
        <sz val="8"/>
        <color indexed="8"/>
        <rFont val="Arial"/>
        <family val="2"/>
      </rPr>
      <t>, no HCPA,  como palestrante.</t>
    </r>
  </si>
  <si>
    <t>Participação no XII Encontro dos Programas de Pós-Graduação nas Áreas de Medicina I, II e III da CAPES</t>
  </si>
  <si>
    <t>Encontro dos Programas de Pós-Graduação na área de Medicina I, II e III.</t>
  </si>
  <si>
    <t>IMPLANTAÇÃO DO MODULO DE EXAMES DO AGHUSE.</t>
  </si>
  <si>
    <r>
      <t xml:space="preserve">SIC -  </t>
    </r>
    <r>
      <rPr>
        <sz val="14"/>
        <color indexed="8"/>
        <rFont val="Arial"/>
        <family val="2"/>
      </rPr>
      <t>RELAÇÃO DE VIAGENS  - SETEMBRO 2018</t>
    </r>
  </si>
  <si>
    <t>COORD DE GESTÃO AUDITORIA INTERNA</t>
  </si>
  <si>
    <t>CHEFE DO SERVIÇO ADM ATENÇÃO EM URGÊNCIAS E EMERG.</t>
  </si>
  <si>
    <t>ADJUNTA DA DIRETORIA MÉDICA</t>
  </si>
  <si>
    <t>CHEFE DA UNID DE ENFERM EM EMERGÊNCIA ADULTOS</t>
  </si>
  <si>
    <t>ASSESSOR DE ENFERMAGEM</t>
  </si>
  <si>
    <t>CHEFIA DE SERVIÇO MÉDICO</t>
  </si>
  <si>
    <t>CHEFE DA UNID VASCULAR</t>
  </si>
  <si>
    <t>SUPERVISOR DA CASA DE APOIO</t>
  </si>
  <si>
    <t>ASSISTENTE SOCIAL I.</t>
  </si>
  <si>
    <t>SUPERVISOR UNID APOIO À TECNOLOGIA DA INFORMAÇÃO</t>
  </si>
  <si>
    <t>CHEFE DA UNID APOIO A TECNOL DA INFORMAÇÃO</t>
  </si>
  <si>
    <t xml:space="preserve">MOTIVO DA VIAGEM </t>
  </si>
  <si>
    <t>Ministrar Treinamento Exército - Projeto AGHUse - Imersão para treinamento para implantação do AGHUse - módulos Prescrição Enfermagem, Anamnese, Evolução e Controle de Pacientes, bem como validar o complemento cadastral e retirar dúvidas negociais.</t>
  </si>
  <si>
    <t>Ministrar Treinamento AGHUSE - Exército</t>
  </si>
  <si>
    <t>Reunião do Conselho Diretor</t>
  </si>
  <si>
    <t>MINISTRAR TREINAMENTO DO MODULO DE EXAMES DO AGHUSE.</t>
  </si>
  <si>
    <t>Conhecer as áreas de manipulação de medicamentos estéreis e não estéreis (estrutura física), sistema de prescrição, fluxos de produção/manipulação e sistema de dispensação dos medicamentos do Hospital Pequeno Príncipe.</t>
  </si>
  <si>
    <t>Participação no 49º FONAITec</t>
  </si>
  <si>
    <t>Participação no curso: Contratações nas empresas Estatais</t>
  </si>
  <si>
    <t>Participar de reunião das pendências das Obras HCPA/Consórcio.</t>
  </si>
  <si>
    <t>7ª Reunião Anual dos Coordenadores dos Programas PIBIC</t>
  </si>
  <si>
    <t>PARTICIPAR DO 6º CONAHP-CONGRESSO NACIONAL DE HOSPITAIS PRIVADOS.</t>
  </si>
  <si>
    <t>Participação em Seminário de ética e Gestão pela Secretaria Executiva da Comissão de ética Pública da Presidência da República.</t>
  </si>
  <si>
    <t>Treinamento/demonstração de equipamento em negociação de substituição na unidade.</t>
  </si>
  <si>
    <t>Acompanhamento implantação módulos AGHUse</t>
  </si>
  <si>
    <t>Ministrar treinamento Exército - Projeto AGHUse - Imersão para treinamento para implantação do AGHUse - módulo Ambulatório Administrativo, bem como apoio à implantação do módulo de Internação.</t>
  </si>
  <si>
    <t>Treinamento Exército - Projeto AGHUse - Imersão para treinamento para implantação do AGHUse - módulos Prescrição Enfermagem, Anamnese, Evolução e Controle de Pacienets, bem como validar o complemento cadastral e retirar dúvidas negociais</t>
  </si>
  <si>
    <t>MEDICO III (ASSESSOR MEDICO DE OPERAÇÕES ASSISTENCIAIS - CIRURGIA)</t>
  </si>
  <si>
    <t>FARMACÊUTICO-BIOQUIMICO I</t>
  </si>
  <si>
    <t>CHEFE DA SEÇÃO CENTRAL MISTURAS INTRAV.</t>
  </si>
  <si>
    <t>CHEFE DA SEÇÃO FARMÁCIA SEMI-INDUSTRIAL - SERVIÇO DE FARMÁCIA</t>
  </si>
  <si>
    <t>DIRETORA-PRESIDENTE</t>
  </si>
  <si>
    <t>PESQUISADOR - PESQUISA EXPERIMENTAL I</t>
  </si>
  <si>
    <t>COORDENADORA  DE HOTELARIA</t>
  </si>
  <si>
    <t>ADVOGADO II</t>
  </si>
  <si>
    <t>COORDENADORA  DO GRUPO DE ENFERMAGEM</t>
  </si>
  <si>
    <t>SUPERVISOR DE SUSTENTAÇÃO E RELACIONAMENTO EXTERNO</t>
  </si>
  <si>
    <t>DIRETOR MÉDICO</t>
  </si>
  <si>
    <r>
      <t xml:space="preserve">SIC -  </t>
    </r>
    <r>
      <rPr>
        <sz val="14"/>
        <color indexed="8"/>
        <rFont val="Arial"/>
        <family val="2"/>
      </rPr>
      <t>RELAÇÃO DE VIAGENS  - NOVEMBRO 2018</t>
    </r>
  </si>
  <si>
    <r>
      <t xml:space="preserve"> SIC - </t>
    </r>
    <r>
      <rPr>
        <sz val="14"/>
        <color indexed="8"/>
        <rFont val="Arial"/>
        <family val="2"/>
      </rPr>
      <t>RELAÇÃO DE VIAGENS  - OUTUBRO 2018</t>
    </r>
  </si>
  <si>
    <t>Acompanhar as atualizações em Tecnologia da Informação e Comunicação (TIC) frente às mudanças importantes como o avanço e a popularização da tecnologia. À medida que as empresas se tornam digitais, profissionais, culturas e serviços também devem tornar-se digitais, por isso o tema escolhido para a 12ª edição do 4CIO Sul é People First.</t>
  </si>
  <si>
    <t>Participação 2º Encontro das Setoriais Contábeis</t>
  </si>
  <si>
    <t>Capacitação  do Projeto Lean nas Emergências</t>
  </si>
  <si>
    <t>Participar da Capacitação do  Projeto Lean nas Emergências</t>
  </si>
  <si>
    <t>Implantação AGHUse Hospital Geral Roberto Santos - Projeto AGHUse - Módulos Ambulatório Assistencial</t>
  </si>
  <si>
    <t>Acompanhamento Implantação AGHUse - Ambulatório Assistencial</t>
  </si>
  <si>
    <r>
      <t>Representar Diretora-Presidente na Assembleia Geral Ordinária da Abrahue - </t>
    </r>
    <r>
      <rPr>
        <b/>
        <i/>
        <sz val="8"/>
        <color indexed="8"/>
        <rFont val="Arial"/>
        <family val="2"/>
      </rPr>
      <t>Associação Brasileira de Hospitais Universitários e de Ensino</t>
    </r>
  </si>
  <si>
    <t>Receber o Termo  IG SEST.</t>
  </si>
  <si>
    <t>Ministrar treinamento AGHUse FAB - Projeto AGHUse - Módulo Cirurgia</t>
  </si>
  <si>
    <t>CHEFE DO SERVIÇO DE FINANÇAS</t>
  </si>
  <si>
    <t>ASSESSOR ADJUNTO</t>
  </si>
  <si>
    <t>ADJUNTA CLÍNICA</t>
  </si>
  <si>
    <t>ANALISTA DE NEGÓCIO II</t>
  </si>
  <si>
    <t>ASSESSOR</t>
  </si>
  <si>
    <t>CHEFE DA SEÇÃO ADM DE UNID E ESPECIALID CIRÚRGICAS</t>
  </si>
  <si>
    <r>
      <t xml:space="preserve"> SIC - </t>
    </r>
    <r>
      <rPr>
        <sz val="14"/>
        <color indexed="8"/>
        <rFont val="Arial"/>
        <family val="2"/>
      </rPr>
      <t>RELAÇÃO DE VIAGENS  - DEZEMBRO 2018</t>
    </r>
  </si>
  <si>
    <t>Ministrar Treinamento AGHUse FAB - Projeto AGHUse - Módulo Cirurgia</t>
  </si>
  <si>
    <t>Ministrar Treinamento AGHUse - módulo Cirurgia Assistencial</t>
  </si>
  <si>
    <t>Apresentação do projeto CITI para potenciais investidores na  VIII Semana de Infraestrutura da Internet no Brasil</t>
  </si>
  <si>
    <t>Visita institucional no InovaIncor (SP) e Eretz.bio (SP)</t>
  </si>
  <si>
    <t>Visitar duas instituições em São Paulo: InovaIncor  e Eretz.bio.</t>
  </si>
  <si>
    <t>Participar da Inauguração da 1a. Fábrica de Aceleradores Lineares da América Latina</t>
  </si>
  <si>
    <t>REUNIÃO NA SPU - SUPERINTENDÊNCIA DO PATRIMÔNIO DA UNIÃO.</t>
  </si>
  <si>
    <t>PARTICIPAÇÃO NO XI SEMINÁRIO HOSPITAIS SAUDÁVEIS 2018</t>
  </si>
  <si>
    <t>Implantação módulo exames na Unicamp</t>
  </si>
  <si>
    <t>Convocação do Ministério do Planejamento para Fórum de Discussão com Empresas Estatais Federais com vistas a Apresentar a Resolução nº 25.</t>
  </si>
  <si>
    <t>CHEFE DO SERVIÇO DE GESTÃO DE NEGÓCIO</t>
  </si>
  <si>
    <t> CHEFE DA UNID DE RADIOTERAPIA</t>
  </si>
  <si>
    <t>ENGENHEIRO DE GESTÃO AMBIENTAL I</t>
  </si>
  <si>
    <t>CHEFE DE UNID DA ÁREA MÉDICA - PROFESSOR</t>
  </si>
  <si>
    <t>ASSESSOR ADJUNTO EXECUTIVO</t>
  </si>
  <si>
    <t>COORD DE GESTÃO DE PESSOAS</t>
  </si>
  <si>
    <t>COORD DE GESTÃO CONTÁBIL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</si>
</sst>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416]mmm\-yy;@"/>
    <numFmt numFmtId="165" formatCode="[$-416]d\ \ mmmm\,\ yyyy;@"/>
  </numFmts>
  <fonts count="37"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sz val="14"/>
      <color indexed="8"/>
      <name val="Arial"/>
      <family val="2"/>
    </font>
    <font>
      <sz val="14"/>
      <color indexed="8"/>
      <name val="Arial"/>
      <family val="2"/>
    </font>
    <font>
      <b/>
      <sz val="9"/>
      <color indexed="10"/>
      <name val="Arial"/>
      <family val="2"/>
    </font>
    <font>
      <sz val="8"/>
      <name val="Arial"/>
      <family val="2"/>
    </font>
    <font>
      <b/>
      <sz val="9"/>
      <name val="Arial"/>
      <family val="2"/>
    </font>
    <font>
      <sz val="9"/>
      <name val="Arial"/>
      <family val="2"/>
    </font>
    <font>
      <sz val="11"/>
      <name val="Arial"/>
      <family val="2"/>
    </font>
    <font>
      <b/>
      <sz val="11"/>
      <name val="Arial"/>
      <family val="2"/>
    </font>
    <font>
      <b/>
      <sz val="12"/>
      <name val="Arial"/>
      <family val="2"/>
    </font>
    <font>
      <sz val="12"/>
      <name val="Arial"/>
      <family val="2"/>
    </font>
    <font>
      <sz val="10"/>
      <color indexed="10"/>
      <name val="Arial"/>
      <family val="2"/>
    </font>
    <font>
      <sz val="12"/>
      <color indexed="10"/>
      <name val="Arial"/>
      <family val="2"/>
    </font>
    <font>
      <b/>
      <i/>
      <sz val="10"/>
      <name val="Arial"/>
      <family val="2"/>
    </font>
    <font>
      <i/>
      <sz val="8"/>
      <name val="Arial"/>
      <family val="2"/>
    </font>
    <font>
      <b/>
      <i/>
      <sz val="8"/>
      <name val="Arial"/>
      <family val="2"/>
    </font>
    <font>
      <b/>
      <sz val="10"/>
      <color indexed="8"/>
      <name val="Arial"/>
      <family val="2"/>
    </font>
    <font>
      <b/>
      <sz val="14"/>
      <name val="Arial"/>
      <family val="2"/>
    </font>
    <font>
      <b/>
      <sz val="11"/>
      <color theme="1"/>
      <name val="Calibri"/>
      <family val="2"/>
      <scheme val="minor"/>
    </font>
    <font>
      <b/>
      <sz val="10"/>
      <color indexed="10"/>
      <name val="Arial"/>
      <family val="2"/>
    </font>
    <font>
      <sz val="9"/>
      <color indexed="8"/>
      <name val="Arial"/>
      <family val="2"/>
    </font>
    <font>
      <b/>
      <i/>
      <sz val="12"/>
      <color theme="1"/>
      <name val="Calibri"/>
      <family val="2"/>
      <scheme val="minor"/>
    </font>
    <font>
      <b/>
      <sz val="10"/>
      <color rgb="FFFF0000"/>
      <name val="Arial"/>
      <family val="2"/>
    </font>
    <font>
      <sz val="8"/>
      <color rgb="FF000000"/>
      <name val="Arial"/>
      <family val="2"/>
    </font>
    <font>
      <sz val="8"/>
      <color rgb="FF000000"/>
      <name val="Calibri"/>
      <family val="2"/>
    </font>
    <font>
      <b/>
      <sz val="8"/>
      <color indexed="8"/>
      <name val="Arial"/>
      <family val="2"/>
    </font>
    <font>
      <sz val="8"/>
      <color indexed="8"/>
      <name val="Arial"/>
      <family val="2"/>
    </font>
    <font>
      <sz val="7"/>
      <color rgb="FF000000"/>
      <name val="Arial"/>
      <family val="2"/>
    </font>
    <font>
      <sz val="8"/>
      <color rgb="FF000000"/>
      <name val="Calibri"/>
      <family val="2"/>
      <scheme val="minor"/>
    </font>
    <font>
      <sz val="9"/>
      <color rgb="FF000000"/>
      <name val="Calibri"/>
      <family val="2"/>
    </font>
    <font>
      <sz val="7.5"/>
      <color rgb="FF000000"/>
      <name val="Arial"/>
      <family val="2"/>
    </font>
    <font>
      <i/>
      <sz val="8"/>
      <color rgb="FF000000"/>
      <name val="Arial"/>
      <family val="2"/>
    </font>
    <font>
      <b/>
      <i/>
      <sz val="8"/>
      <color indexed="8"/>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indexed="42"/>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tint="0.79998168889431442"/>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07">
    <xf numFmtId="0" fontId="0" fillId="0" borderId="0" xfId="0"/>
    <xf numFmtId="0" fontId="0" fillId="0" borderId="0" xfId="0" applyFill="1"/>
    <xf numFmtId="0" fontId="0" fillId="0" borderId="0" xfId="0" applyAlignment="1">
      <alignment horizontal="left"/>
    </xf>
    <xf numFmtId="0" fontId="2" fillId="0" borderId="0" xfId="0" applyFont="1"/>
    <xf numFmtId="43" fontId="1" fillId="0" borderId="0" xfId="1"/>
    <xf numFmtId="43" fontId="3" fillId="0" borderId="0" xfId="1" applyFont="1" applyAlignment="1">
      <alignment horizontal="center" vertical="center"/>
    </xf>
    <xf numFmtId="43" fontId="1" fillId="0" borderId="0" xfId="1" applyAlignment="1">
      <alignment horizontal="center" vertical="center"/>
    </xf>
    <xf numFmtId="0" fontId="4" fillId="0" borderId="0" xfId="0" applyFont="1" applyFill="1" applyAlignment="1">
      <alignment horizontal="center"/>
    </xf>
    <xf numFmtId="0" fontId="4" fillId="0" borderId="0" xfId="0" applyFont="1" applyFill="1" applyAlignment="1"/>
    <xf numFmtId="0" fontId="8" fillId="0" borderId="2" xfId="0" applyFont="1" applyFill="1" applyBorder="1" applyAlignment="1">
      <alignment horizontal="center" wrapText="1"/>
    </xf>
    <xf numFmtId="0" fontId="8" fillId="0" borderId="2" xfId="0" applyFont="1" applyFill="1" applyBorder="1" applyAlignment="1">
      <alignment horizontal="center"/>
    </xf>
    <xf numFmtId="0" fontId="8" fillId="0" borderId="2" xfId="0" applyNumberFormat="1" applyFont="1" applyFill="1" applyBorder="1" applyAlignment="1">
      <alignment horizontal="center"/>
    </xf>
    <xf numFmtId="43" fontId="9" fillId="0" borderId="2" xfId="1" applyFont="1" applyFill="1" applyBorder="1" applyAlignment="1">
      <alignment horizontal="center" vertical="center"/>
    </xf>
    <xf numFmtId="43" fontId="10" fillId="0" borderId="2" xfId="1" applyFont="1" applyFill="1" applyBorder="1" applyAlignment="1">
      <alignment vertical="center"/>
    </xf>
    <xf numFmtId="43" fontId="9" fillId="3" borderId="2" xfId="1" applyFont="1" applyFill="1" applyBorder="1" applyAlignment="1">
      <alignment horizontal="center" vertical="center"/>
    </xf>
    <xf numFmtId="43" fontId="9" fillId="4" borderId="2" xfId="1" applyFont="1" applyFill="1" applyBorder="1" applyAlignment="1">
      <alignment horizontal="center" vertical="center"/>
    </xf>
    <xf numFmtId="0" fontId="10" fillId="0" borderId="0" xfId="0" applyFont="1" applyFill="1"/>
    <xf numFmtId="0" fontId="10" fillId="0" borderId="0" xfId="0" applyFont="1"/>
    <xf numFmtId="164" fontId="10" fillId="0" borderId="2" xfId="0" applyNumberFormat="1" applyFont="1" applyFill="1" applyBorder="1" applyAlignment="1">
      <alignment horizontal="center"/>
    </xf>
    <xf numFmtId="0" fontId="8" fillId="0" borderId="2" xfId="0" applyFont="1" applyFill="1" applyBorder="1" applyAlignment="1">
      <alignment horizontal="left"/>
    </xf>
    <xf numFmtId="0" fontId="10"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left"/>
    </xf>
    <xf numFmtId="164" fontId="8" fillId="0" borderId="0" xfId="0" applyNumberFormat="1" applyFont="1" applyFill="1" applyBorder="1" applyAlignment="1">
      <alignment horizontal="center"/>
    </xf>
    <xf numFmtId="0" fontId="8" fillId="0" borderId="0" xfId="0" applyFont="1" applyFill="1" applyBorder="1" applyAlignment="1">
      <alignment horizontal="center"/>
    </xf>
    <xf numFmtId="0" fontId="8" fillId="0" borderId="0" xfId="0" applyNumberFormat="1" applyFont="1" applyFill="1" applyBorder="1" applyAlignment="1">
      <alignment horizontal="center"/>
    </xf>
    <xf numFmtId="43" fontId="10" fillId="0" borderId="0" xfId="1" applyFont="1" applyFill="1" applyBorder="1" applyAlignment="1">
      <alignment wrapText="1"/>
    </xf>
    <xf numFmtId="43" fontId="10" fillId="0" borderId="0" xfId="1" applyFont="1" applyFill="1" applyBorder="1"/>
    <xf numFmtId="43" fontId="9" fillId="0" borderId="0" xfId="1" applyFont="1" applyFill="1" applyBorder="1" applyAlignment="1">
      <alignment horizontal="center" vertical="center" wrapText="1"/>
    </xf>
    <xf numFmtId="43" fontId="9" fillId="0" borderId="0" xfId="1" applyFont="1" applyFill="1" applyBorder="1" applyAlignment="1">
      <alignment horizontal="center" vertical="center"/>
    </xf>
    <xf numFmtId="43" fontId="10" fillId="0" borderId="0" xfId="1" applyFont="1" applyFill="1" applyBorder="1" applyAlignment="1">
      <alignment horizontal="center" vertical="center"/>
    </xf>
    <xf numFmtId="0" fontId="11" fillId="0" borderId="0" xfId="0" applyFont="1"/>
    <xf numFmtId="0" fontId="11" fillId="0" borderId="0" xfId="0" applyFont="1" applyFill="1" applyBorder="1"/>
    <xf numFmtId="0" fontId="11" fillId="0" borderId="0" xfId="0" applyFont="1" applyBorder="1"/>
    <xf numFmtId="0" fontId="11" fillId="0" borderId="0" xfId="0" applyFont="1" applyFill="1" applyBorder="1" applyAlignment="1">
      <alignment horizontal="left"/>
    </xf>
    <xf numFmtId="43" fontId="13" fillId="0" borderId="0" xfId="1" applyFont="1" applyFill="1" applyBorder="1"/>
    <xf numFmtId="43" fontId="13" fillId="0" borderId="0" xfId="1" applyFont="1" applyFill="1" applyBorder="1" applyAlignment="1">
      <alignment vertical="center"/>
    </xf>
    <xf numFmtId="43" fontId="12" fillId="0" borderId="0" xfId="1" applyFont="1" applyAlignment="1">
      <alignment horizontal="center" vertical="center"/>
    </xf>
    <xf numFmtId="43" fontId="13" fillId="3" borderId="0" xfId="1" applyFont="1" applyFill="1" applyAlignment="1">
      <alignment horizontal="center" vertical="center"/>
    </xf>
    <xf numFmtId="43" fontId="13" fillId="4" borderId="0" xfId="1" applyFont="1" applyFill="1" applyAlignment="1">
      <alignment horizontal="center" vertical="center"/>
    </xf>
    <xf numFmtId="0" fontId="14" fillId="0" borderId="0" xfId="0" applyFont="1"/>
    <xf numFmtId="0" fontId="14" fillId="0" borderId="0" xfId="0" applyFont="1" applyFill="1" applyBorder="1"/>
    <xf numFmtId="0" fontId="14" fillId="0" borderId="0" xfId="0" applyFont="1" applyBorder="1"/>
    <xf numFmtId="43" fontId="14" fillId="0" borderId="0" xfId="1" applyFont="1"/>
    <xf numFmtId="43" fontId="14" fillId="0" borderId="0" xfId="1" applyFont="1" applyAlignment="1">
      <alignment horizontal="center" vertical="center"/>
    </xf>
    <xf numFmtId="0" fontId="14" fillId="0" borderId="0" xfId="0" applyFont="1" applyFill="1" applyBorder="1" applyAlignment="1">
      <alignment horizontal="left"/>
    </xf>
    <xf numFmtId="43" fontId="13" fillId="0" borderId="0" xfId="1" applyFont="1" applyAlignment="1">
      <alignment horizontal="center" vertical="center"/>
    </xf>
    <xf numFmtId="43" fontId="15" fillId="0" borderId="0" xfId="1" applyFont="1" applyAlignment="1">
      <alignment horizontal="center" vertical="center"/>
    </xf>
    <xf numFmtId="43" fontId="16" fillId="0" borderId="0" xfId="1" applyFont="1" applyAlignment="1">
      <alignment horizontal="center" vertical="center"/>
    </xf>
    <xf numFmtId="0" fontId="0" fillId="0" borderId="0" xfId="0" applyFill="1" applyBorder="1"/>
    <xf numFmtId="0" fontId="0" fillId="0" borderId="0" xfId="0" applyBorder="1"/>
    <xf numFmtId="0" fontId="0" fillId="0" borderId="0" xfId="0" applyBorder="1" applyAlignment="1">
      <alignment horizontal="left"/>
    </xf>
    <xf numFmtId="0" fontId="2" fillId="0" borderId="0" xfId="0" applyFont="1" applyBorder="1"/>
    <xf numFmtId="43" fontId="12" fillId="0" borderId="0" xfId="1" applyFont="1"/>
    <xf numFmtId="43" fontId="9" fillId="0" borderId="2" xfId="1" applyFont="1" applyFill="1" applyBorder="1" applyAlignment="1">
      <alignment vertical="center"/>
    </xf>
    <xf numFmtId="0" fontId="8" fillId="0" borderId="3" xfId="0" applyNumberFormat="1" applyFont="1" applyFill="1" applyBorder="1" applyAlignment="1">
      <alignment horizontal="center"/>
    </xf>
    <xf numFmtId="0" fontId="9" fillId="0" borderId="2" xfId="0" applyFont="1" applyFill="1" applyBorder="1" applyAlignment="1">
      <alignment horizontal="center"/>
    </xf>
    <xf numFmtId="0" fontId="9" fillId="0" borderId="2" xfId="0" applyFont="1" applyFill="1" applyBorder="1" applyAlignment="1">
      <alignment horizontal="center" wrapText="1"/>
    </xf>
    <xf numFmtId="43" fontId="9" fillId="2" borderId="2" xfId="1" applyFont="1" applyFill="1" applyBorder="1" applyAlignment="1">
      <alignment vertical="center"/>
    </xf>
    <xf numFmtId="43" fontId="12" fillId="0" borderId="0" xfId="1" applyFont="1" applyAlignment="1">
      <alignment vertical="center"/>
    </xf>
    <xf numFmtId="43" fontId="13" fillId="3" borderId="0" xfId="1" applyFont="1" applyFill="1" applyAlignment="1">
      <alignment vertical="center"/>
    </xf>
    <xf numFmtId="43" fontId="13" fillId="4" borderId="0" xfId="1" applyFont="1" applyFill="1" applyAlignment="1">
      <alignment vertical="center"/>
    </xf>
    <xf numFmtId="0" fontId="10" fillId="0" borderId="2" xfId="0" applyFont="1" applyFill="1" applyBorder="1" applyAlignment="1">
      <alignment horizontal="center"/>
    </xf>
    <xf numFmtId="0" fontId="10" fillId="0" borderId="2" xfId="0" applyFont="1" applyFill="1" applyBorder="1" applyAlignment="1">
      <alignment horizontal="center" wrapText="1"/>
    </xf>
    <xf numFmtId="0" fontId="5" fillId="0" borderId="0" xfId="0" applyFont="1" applyFill="1" applyBorder="1" applyAlignment="1">
      <alignment horizontal="center"/>
    </xf>
    <xf numFmtId="0" fontId="3"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3" fillId="5" borderId="4" xfId="0" applyFont="1" applyFill="1" applyBorder="1" applyAlignment="1">
      <alignment horizontal="center" vertical="center" wrapText="1" shrinkToFit="1"/>
    </xf>
    <xf numFmtId="0" fontId="3" fillId="5" borderId="4" xfId="0" applyFont="1" applyFill="1" applyBorder="1" applyAlignment="1">
      <alignment horizontal="center" vertical="center" wrapText="1"/>
    </xf>
    <xf numFmtId="43" fontId="3" fillId="5" borderId="4" xfId="1" applyFont="1" applyFill="1" applyBorder="1" applyAlignment="1">
      <alignment horizontal="center" vertical="center" wrapText="1"/>
    </xf>
    <xf numFmtId="0" fontId="9" fillId="6" borderId="6" xfId="0" applyFont="1" applyFill="1" applyBorder="1" applyAlignment="1">
      <alignment horizontal="center" wrapText="1"/>
    </xf>
    <xf numFmtId="0" fontId="9" fillId="6" borderId="6" xfId="0" applyFont="1" applyFill="1" applyBorder="1" applyAlignment="1">
      <alignment horizontal="center"/>
    </xf>
    <xf numFmtId="0" fontId="9" fillId="6" borderId="7" xfId="0" applyFont="1" applyFill="1" applyBorder="1" applyAlignment="1">
      <alignment horizontal="center"/>
    </xf>
    <xf numFmtId="43" fontId="9" fillId="7" borderId="9" xfId="1" applyFont="1" applyFill="1" applyBorder="1" applyAlignment="1">
      <alignment vertical="center"/>
    </xf>
    <xf numFmtId="43" fontId="9" fillId="7" borderId="9" xfId="1" applyFont="1" applyFill="1" applyBorder="1" applyAlignment="1">
      <alignment horizontal="center" vertical="center"/>
    </xf>
    <xf numFmtId="43" fontId="9" fillId="7" borderId="10" xfId="1" applyFont="1" applyFill="1" applyBorder="1" applyAlignment="1">
      <alignment vertical="center"/>
    </xf>
    <xf numFmtId="43" fontId="9" fillId="7" borderId="10" xfId="1" applyFont="1" applyFill="1" applyBorder="1" applyAlignment="1">
      <alignment horizontal="center" vertical="center"/>
    </xf>
    <xf numFmtId="43" fontId="3" fillId="8" borderId="4" xfId="1" applyFont="1" applyFill="1" applyBorder="1" applyAlignment="1">
      <alignment horizontal="center" vertical="center" wrapText="1"/>
    </xf>
    <xf numFmtId="0" fontId="3" fillId="6" borderId="5" xfId="0" applyFont="1" applyFill="1" applyBorder="1" applyAlignment="1">
      <alignment horizontal="center" vertical="center" wrapText="1"/>
    </xf>
    <xf numFmtId="43" fontId="12" fillId="0" borderId="0" xfId="1" applyFont="1" applyFill="1" applyAlignment="1">
      <alignment horizontal="center" vertical="center"/>
    </xf>
    <xf numFmtId="43" fontId="13" fillId="7" borderId="4" xfId="1" applyFont="1" applyFill="1" applyBorder="1"/>
    <xf numFmtId="43" fontId="13" fillId="7" borderId="4" xfId="1" applyFont="1" applyFill="1" applyBorder="1" applyAlignment="1">
      <alignment horizontal="center" vertical="center"/>
    </xf>
    <xf numFmtId="0" fontId="17" fillId="9" borderId="0" xfId="0" applyFont="1" applyFill="1" applyBorder="1" applyAlignment="1">
      <alignment horizontal="center"/>
    </xf>
    <xf numFmtId="43" fontId="17" fillId="8" borderId="8" xfId="1" applyFont="1" applyFill="1" applyBorder="1" applyAlignment="1">
      <alignment vertical="center" wrapText="1"/>
    </xf>
    <xf numFmtId="43" fontId="17" fillId="0" borderId="0" xfId="1" applyFont="1" applyAlignment="1">
      <alignment horizontal="center" vertical="center"/>
    </xf>
    <xf numFmtId="43" fontId="10" fillId="0" borderId="0" xfId="0" applyNumberFormat="1" applyFont="1" applyFill="1"/>
    <xf numFmtId="43" fontId="18" fillId="0" borderId="0" xfId="1" applyFont="1" applyAlignment="1">
      <alignment horizontal="center" vertical="center"/>
    </xf>
    <xf numFmtId="43" fontId="16" fillId="0" borderId="12" xfId="1" applyFont="1" applyBorder="1" applyAlignment="1">
      <alignment horizontal="center" vertical="center"/>
    </xf>
    <xf numFmtId="43" fontId="19" fillId="0" borderId="11" xfId="1" applyFont="1" applyBorder="1" applyAlignment="1">
      <alignment horizontal="center" vertical="center"/>
    </xf>
    <xf numFmtId="0" fontId="5" fillId="0" borderId="0" xfId="0" applyFont="1" applyFill="1" applyBorder="1" applyAlignment="1">
      <alignment horizontal="center"/>
    </xf>
    <xf numFmtId="0" fontId="20" fillId="0" borderId="4" xfId="0" applyFont="1" applyFill="1" applyBorder="1" applyAlignment="1">
      <alignment horizontal="center"/>
    </xf>
    <xf numFmtId="43" fontId="13" fillId="0" borderId="0" xfId="1" applyFont="1" applyAlignment="1">
      <alignment horizontal="right"/>
    </xf>
    <xf numFmtId="43" fontId="9" fillId="0" borderId="0" xfId="1" applyFont="1" applyFill="1" applyBorder="1" applyAlignment="1">
      <alignment vertical="center"/>
    </xf>
    <xf numFmtId="43" fontId="13" fillId="10" borderId="4" xfId="1" applyFont="1" applyFill="1" applyBorder="1"/>
    <xf numFmtId="0" fontId="20" fillId="0" borderId="4" xfId="0" applyFont="1" applyFill="1" applyBorder="1" applyAlignment="1">
      <alignment horizontal="center" wrapText="1"/>
    </xf>
    <xf numFmtId="0" fontId="5" fillId="0" borderId="0" xfId="0" applyFont="1" applyFill="1" applyBorder="1" applyAlignment="1"/>
    <xf numFmtId="0" fontId="3" fillId="0" borderId="16" xfId="0" applyFont="1" applyBorder="1" applyAlignment="1">
      <alignment horizontal="center" vertical="center" shrinkToFit="1"/>
    </xf>
    <xf numFmtId="0" fontId="2" fillId="0" borderId="21" xfId="0" applyFont="1" applyBorder="1" applyAlignment="1">
      <alignment horizontal="center" vertical="center" shrinkToFit="1"/>
    </xf>
    <xf numFmtId="43" fontId="3" fillId="0" borderId="22" xfId="1" applyFont="1" applyFill="1" applyBorder="1" applyAlignment="1">
      <alignment vertical="center" wrapTex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9" fillId="0" borderId="25" xfId="0" applyFont="1" applyFill="1" applyBorder="1" applyAlignment="1">
      <alignment horizontal="center"/>
    </xf>
    <xf numFmtId="0" fontId="8" fillId="0" borderId="25" xfId="0" applyFont="1" applyFill="1" applyBorder="1" applyAlignment="1">
      <alignment horizontal="center" wrapText="1"/>
    </xf>
    <xf numFmtId="164" fontId="10" fillId="0" borderId="25" xfId="0" applyNumberFormat="1" applyFont="1" applyFill="1" applyBorder="1" applyAlignment="1">
      <alignment horizontal="center"/>
    </xf>
    <xf numFmtId="0" fontId="8" fillId="0" borderId="25" xfId="0" applyFont="1" applyFill="1" applyBorder="1" applyAlignment="1">
      <alignment horizontal="center"/>
    </xf>
    <xf numFmtId="0" fontId="8" fillId="0" borderId="25" xfId="0" applyNumberFormat="1" applyFont="1" applyFill="1" applyBorder="1" applyAlignment="1">
      <alignment horizontal="center"/>
    </xf>
    <xf numFmtId="43" fontId="9" fillId="0" borderId="25" xfId="1" applyFont="1" applyFill="1" applyBorder="1" applyAlignment="1">
      <alignment vertical="center"/>
    </xf>
    <xf numFmtId="43" fontId="9" fillId="3" borderId="25" xfId="1" applyFont="1" applyFill="1" applyBorder="1" applyAlignment="1">
      <alignment horizontal="center" vertical="center"/>
    </xf>
    <xf numFmtId="43" fontId="9" fillId="4" borderId="25" xfId="1" applyFont="1" applyFill="1" applyBorder="1" applyAlignment="1">
      <alignment horizontal="center" vertical="center"/>
    </xf>
    <xf numFmtId="43" fontId="3" fillId="0" borderId="26" xfId="1" applyFont="1" applyFill="1" applyBorder="1" applyAlignment="1">
      <alignment vertical="center" wrapTex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2" borderId="3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8" xfId="0" applyFont="1" applyBorder="1" applyAlignment="1">
      <alignment horizontal="center" vertical="center" wrapText="1"/>
    </xf>
    <xf numFmtId="43" fontId="3" fillId="3" borderId="28" xfId="1" applyFont="1" applyFill="1" applyBorder="1" applyAlignment="1">
      <alignment horizontal="center" vertical="center" wrapText="1"/>
    </xf>
    <xf numFmtId="43" fontId="3" fillId="4" borderId="28" xfId="1" applyFont="1" applyFill="1" applyBorder="1" applyAlignment="1">
      <alignment horizontal="center" vertical="center" wrapText="1"/>
    </xf>
    <xf numFmtId="43" fontId="3" fillId="0" borderId="33" xfId="1" applyFont="1" applyFill="1" applyBorder="1" applyAlignment="1">
      <alignment horizontal="center" vertical="center" wrapText="1"/>
    </xf>
    <xf numFmtId="0" fontId="2" fillId="0" borderId="34" xfId="0" applyFont="1" applyBorder="1" applyAlignment="1">
      <alignment horizontal="center" vertical="center" shrinkToFit="1"/>
    </xf>
    <xf numFmtId="0" fontId="9" fillId="0" borderId="19" xfId="0" applyFont="1" applyFill="1" applyBorder="1" applyAlignment="1">
      <alignment horizontal="center"/>
    </xf>
    <xf numFmtId="0" fontId="8" fillId="0" borderId="19" xfId="0" applyFont="1" applyFill="1" applyBorder="1" applyAlignment="1">
      <alignment horizontal="center" wrapText="1"/>
    </xf>
    <xf numFmtId="164" fontId="10" fillId="0" borderId="19" xfId="0" applyNumberFormat="1" applyFont="1" applyFill="1" applyBorder="1" applyAlignment="1">
      <alignment horizontal="center"/>
    </xf>
    <xf numFmtId="0" fontId="8" fillId="0" borderId="19" xfId="0" applyFont="1" applyFill="1" applyBorder="1" applyAlignment="1">
      <alignment horizontal="center"/>
    </xf>
    <xf numFmtId="0" fontId="8" fillId="0" borderId="19" xfId="0" applyNumberFormat="1" applyFont="1" applyFill="1" applyBorder="1" applyAlignment="1">
      <alignment horizontal="center"/>
    </xf>
    <xf numFmtId="43" fontId="10" fillId="0" borderId="19" xfId="1" applyFont="1" applyFill="1" applyBorder="1" applyAlignment="1">
      <alignment vertical="center"/>
    </xf>
    <xf numFmtId="43" fontId="9" fillId="3" borderId="19" xfId="1" applyFont="1" applyFill="1" applyBorder="1" applyAlignment="1">
      <alignment horizontal="center" vertical="center"/>
    </xf>
    <xf numFmtId="43" fontId="9" fillId="4" borderId="19" xfId="1" applyFont="1" applyFill="1" applyBorder="1" applyAlignment="1">
      <alignment horizontal="center" vertical="center"/>
    </xf>
    <xf numFmtId="43" fontId="3" fillId="0" borderId="20" xfId="1" applyFont="1" applyFill="1" applyBorder="1" applyAlignment="1">
      <alignment vertical="center" wrapText="1"/>
    </xf>
    <xf numFmtId="43" fontId="9" fillId="0" borderId="25" xfId="1" applyFont="1" applyFill="1" applyBorder="1" applyAlignment="1">
      <alignment horizontal="center" vertical="center"/>
    </xf>
    <xf numFmtId="0" fontId="8" fillId="0" borderId="19" xfId="0" applyFont="1" applyFill="1" applyBorder="1" applyAlignment="1">
      <alignment horizontal="left"/>
    </xf>
    <xf numFmtId="43" fontId="9" fillId="0" borderId="19" xfId="1" applyFont="1" applyFill="1" applyBorder="1" applyAlignment="1">
      <alignment vertical="center"/>
    </xf>
    <xf numFmtId="43" fontId="3" fillId="0" borderId="11" xfId="1" applyFont="1" applyFill="1" applyBorder="1" applyAlignment="1">
      <alignment horizontal="center" vertical="center" wrapText="1"/>
    </xf>
    <xf numFmtId="43" fontId="2" fillId="0" borderId="0" xfId="1" applyFont="1" applyFill="1" applyBorder="1" applyAlignment="1">
      <alignment vertical="center"/>
    </xf>
    <xf numFmtId="43" fontId="3" fillId="0" borderId="0" xfId="1" applyFont="1" applyFill="1" applyBorder="1" applyAlignment="1">
      <alignment vertical="center"/>
    </xf>
    <xf numFmtId="0" fontId="10" fillId="0" borderId="19" xfId="0" applyFont="1" applyFill="1" applyBorder="1" applyAlignment="1">
      <alignment horizontal="center"/>
    </xf>
    <xf numFmtId="0" fontId="10" fillId="0" borderId="25" xfId="0" applyFont="1" applyFill="1" applyBorder="1" applyAlignment="1">
      <alignment horizontal="center"/>
    </xf>
    <xf numFmtId="43" fontId="9" fillId="4" borderId="35" xfId="1" applyFont="1" applyFill="1" applyBorder="1" applyAlignment="1">
      <alignment horizontal="center" vertical="center"/>
    </xf>
    <xf numFmtId="43" fontId="9" fillId="4" borderId="3" xfId="1" applyFont="1" applyFill="1" applyBorder="1" applyAlignment="1">
      <alignment horizontal="center" vertical="center"/>
    </xf>
    <xf numFmtId="43" fontId="9" fillId="4" borderId="36" xfId="1" applyFont="1" applyFill="1" applyBorder="1" applyAlignment="1">
      <alignment horizontal="center" vertical="center"/>
    </xf>
    <xf numFmtId="0" fontId="20" fillId="0" borderId="11" xfId="0" applyFont="1" applyFill="1" applyBorder="1" applyAlignment="1">
      <alignment horizontal="center" wrapText="1"/>
    </xf>
    <xf numFmtId="0" fontId="3" fillId="2" borderId="3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16" xfId="0" applyFont="1" applyBorder="1" applyAlignment="1">
      <alignment horizontal="center" vertical="center" wrapText="1"/>
    </xf>
    <xf numFmtId="43" fontId="3" fillId="3" borderId="16" xfId="1" applyFont="1" applyFill="1" applyBorder="1" applyAlignment="1">
      <alignment horizontal="center" vertical="center" wrapText="1"/>
    </xf>
    <xf numFmtId="43" fontId="3" fillId="4" borderId="16" xfId="1" applyFont="1" applyFill="1" applyBorder="1" applyAlignment="1">
      <alignment horizontal="center" vertical="center" wrapText="1"/>
    </xf>
    <xf numFmtId="43" fontId="3" fillId="0" borderId="39" xfId="1" applyFont="1" applyFill="1" applyBorder="1" applyAlignment="1">
      <alignment horizontal="center" vertical="center" wrapText="1"/>
    </xf>
    <xf numFmtId="0" fontId="5" fillId="0" borderId="13" xfId="0" applyFont="1" applyFill="1" applyBorder="1" applyAlignment="1">
      <alignment horizontal="center"/>
    </xf>
    <xf numFmtId="0" fontId="5" fillId="0" borderId="40" xfId="0" applyFont="1" applyFill="1" applyBorder="1" applyAlignment="1">
      <alignment horizontal="center"/>
    </xf>
    <xf numFmtId="43" fontId="9" fillId="2" borderId="19" xfId="1" applyFont="1" applyFill="1" applyBorder="1" applyAlignment="1">
      <alignment vertical="center"/>
    </xf>
    <xf numFmtId="43" fontId="9" fillId="2" borderId="25" xfId="1" applyFont="1" applyFill="1" applyBorder="1" applyAlignment="1">
      <alignment vertical="center"/>
    </xf>
    <xf numFmtId="0" fontId="5" fillId="0" borderId="41" xfId="0" applyFont="1" applyFill="1" applyBorder="1" applyAlignment="1">
      <alignment horizontal="center"/>
    </xf>
    <xf numFmtId="43" fontId="9" fillId="0" borderId="19" xfId="1" applyFont="1" applyFill="1" applyBorder="1" applyAlignment="1">
      <alignment horizontal="center" vertical="center"/>
    </xf>
    <xf numFmtId="0" fontId="10" fillId="0" borderId="2" xfId="0" applyNumberFormat="1" applyFont="1" applyFill="1" applyBorder="1" applyAlignment="1">
      <alignment horizontal="center"/>
    </xf>
    <xf numFmtId="0" fontId="10" fillId="0" borderId="19" xfId="0" applyNumberFormat="1" applyFont="1" applyFill="1" applyBorder="1" applyAlignment="1">
      <alignment horizontal="center"/>
    </xf>
    <xf numFmtId="0" fontId="2" fillId="0" borderId="42" xfId="0" applyFont="1" applyBorder="1" applyAlignment="1">
      <alignment horizontal="center" vertical="center" shrinkToFit="1"/>
    </xf>
    <xf numFmtId="0" fontId="10" fillId="0" borderId="25" xfId="0" applyNumberFormat="1" applyFont="1" applyFill="1" applyBorder="1" applyAlignment="1">
      <alignment horizontal="center"/>
    </xf>
    <xf numFmtId="0" fontId="9" fillId="0" borderId="18" xfId="0" applyFont="1" applyFill="1" applyBorder="1" applyAlignment="1">
      <alignment horizontal="center"/>
    </xf>
    <xf numFmtId="43" fontId="21" fillId="2" borderId="0" xfId="1" applyFont="1" applyFill="1" applyAlignment="1">
      <alignment horizontal="center" vertical="center"/>
    </xf>
    <xf numFmtId="43" fontId="16" fillId="0" borderId="0" xfId="1" applyFont="1" applyBorder="1" applyAlignment="1">
      <alignment horizontal="center" vertical="center"/>
    </xf>
    <xf numFmtId="43" fontId="1" fillId="0" borderId="0" xfId="1" applyBorder="1" applyAlignment="1">
      <alignment horizontal="center" vertical="center"/>
    </xf>
    <xf numFmtId="43" fontId="19" fillId="0" borderId="0" xfId="1" applyFont="1" applyBorder="1" applyAlignment="1">
      <alignment horizontal="center" vertical="center"/>
    </xf>
    <xf numFmtId="43" fontId="13" fillId="7" borderId="4" xfId="0" applyNumberFormat="1" applyFont="1" applyFill="1" applyBorder="1"/>
    <xf numFmtId="43" fontId="13" fillId="7" borderId="4" xfId="0" applyNumberFormat="1" applyFont="1" applyFill="1" applyBorder="1" applyAlignment="1">
      <alignment horizontal="left"/>
    </xf>
    <xf numFmtId="0" fontId="5" fillId="0" borderId="0" xfId="0" applyFont="1" applyFill="1" applyBorder="1" applyAlignment="1">
      <alignment horizontal="center"/>
    </xf>
    <xf numFmtId="0" fontId="0" fillId="2" borderId="0" xfId="0" applyFill="1"/>
    <xf numFmtId="0" fontId="0" fillId="2" borderId="0" xfId="0" applyFill="1" applyBorder="1"/>
    <xf numFmtId="0" fontId="0" fillId="2" borderId="0" xfId="0" applyFill="1" applyBorder="1" applyAlignment="1">
      <alignment horizontal="left"/>
    </xf>
    <xf numFmtId="43" fontId="23" fillId="0" borderId="0" xfId="1" applyFont="1" applyAlignment="1">
      <alignment horizontal="center" vertical="center"/>
    </xf>
    <xf numFmtId="43" fontId="14" fillId="0" borderId="0" xfId="0" applyNumberFormat="1" applyFont="1" applyBorder="1"/>
    <xf numFmtId="0" fontId="9" fillId="0" borderId="19" xfId="0" applyFont="1" applyFill="1" applyBorder="1" applyAlignment="1">
      <alignment horizontal="center" wrapText="1"/>
    </xf>
    <xf numFmtId="0" fontId="8" fillId="11" borderId="4" xfId="0" applyFont="1" applyFill="1" applyBorder="1" applyAlignment="1">
      <alignment horizontal="center" vertical="center" wrapText="1"/>
    </xf>
    <xf numFmtId="0" fontId="0" fillId="0" borderId="0" xfId="0" applyFill="1" applyBorder="1" applyAlignment="1">
      <alignment horizontal="left"/>
    </xf>
    <xf numFmtId="165" fontId="25" fillId="11" borderId="4" xfId="0" applyNumberFormat="1" applyFont="1" applyFill="1" applyBorder="1" applyAlignment="1">
      <alignment horizontal="center"/>
    </xf>
    <xf numFmtId="0" fontId="9" fillId="0" borderId="25" xfId="0" applyFont="1" applyFill="1" applyBorder="1" applyAlignment="1">
      <alignment horizontal="center" wrapText="1"/>
    </xf>
    <xf numFmtId="0" fontId="9" fillId="6" borderId="43" xfId="0" applyFont="1" applyFill="1" applyBorder="1" applyAlignment="1">
      <alignment horizontal="center"/>
    </xf>
    <xf numFmtId="43" fontId="9" fillId="7" borderId="44" xfId="1" applyFont="1" applyFill="1" applyBorder="1" applyAlignment="1">
      <alignment vertical="center"/>
    </xf>
    <xf numFmtId="43" fontId="9" fillId="7" borderId="44" xfId="1" applyFont="1" applyFill="1" applyBorder="1" applyAlignment="1">
      <alignment horizontal="center" vertical="center"/>
    </xf>
    <xf numFmtId="0" fontId="8" fillId="8" borderId="4" xfId="0" applyFont="1" applyFill="1" applyBorder="1" applyAlignment="1">
      <alignment horizontal="center" vertical="center" wrapText="1"/>
    </xf>
    <xf numFmtId="43" fontId="17" fillId="8" borderId="12" xfId="1" applyFont="1" applyFill="1" applyBorder="1" applyAlignment="1">
      <alignment vertical="center" wrapText="1"/>
    </xf>
    <xf numFmtId="0" fontId="10" fillId="0" borderId="36" xfId="0" applyNumberFormat="1" applyFont="1" applyFill="1" applyBorder="1" applyAlignment="1">
      <alignment horizontal="center"/>
    </xf>
    <xf numFmtId="164" fontId="24" fillId="0" borderId="19" xfId="0" applyNumberFormat="1" applyFont="1" applyFill="1" applyBorder="1" applyAlignment="1">
      <alignment horizontal="center"/>
    </xf>
    <xf numFmtId="0" fontId="9" fillId="6" borderId="44" xfId="0" applyFont="1" applyFill="1" applyBorder="1" applyAlignment="1">
      <alignment horizontal="center"/>
    </xf>
    <xf numFmtId="0" fontId="9" fillId="6" borderId="8" xfId="0" applyFont="1" applyFill="1" applyBorder="1" applyAlignment="1">
      <alignment horizontal="center"/>
    </xf>
    <xf numFmtId="0" fontId="9" fillId="6" borderId="12" xfId="0" applyFont="1" applyFill="1" applyBorder="1" applyAlignment="1">
      <alignment horizontal="center"/>
    </xf>
    <xf numFmtId="0" fontId="5" fillId="0" borderId="0" xfId="0" applyFont="1" applyFill="1" applyBorder="1" applyAlignment="1">
      <alignment horizontal="center"/>
    </xf>
    <xf numFmtId="0" fontId="3" fillId="0" borderId="30" xfId="0" applyFont="1" applyBorder="1" applyAlignment="1">
      <alignment horizontal="center" vertical="center" shrinkToFit="1"/>
    </xf>
    <xf numFmtId="0" fontId="5" fillId="0" borderId="0" xfId="0" applyFont="1" applyFill="1" applyBorder="1" applyAlignment="1">
      <alignment horizontal="center"/>
    </xf>
    <xf numFmtId="0" fontId="27" fillId="0" borderId="0" xfId="0" applyFont="1" applyFill="1" applyBorder="1" applyAlignment="1">
      <alignment wrapText="1"/>
    </xf>
    <xf numFmtId="0" fontId="27" fillId="0" borderId="0" xfId="0" applyFont="1" applyBorder="1" applyAlignment="1">
      <alignment wrapText="1"/>
    </xf>
    <xf numFmtId="0" fontId="8" fillId="0" borderId="3" xfId="0" applyFont="1" applyFill="1" applyBorder="1" applyAlignment="1">
      <alignment horizontal="center"/>
    </xf>
    <xf numFmtId="0" fontId="8" fillId="0" borderId="35" xfId="0" applyFont="1" applyFill="1" applyBorder="1" applyAlignment="1">
      <alignment horizontal="center" wrapText="1"/>
    </xf>
    <xf numFmtId="0" fontId="8" fillId="0" borderId="36" xfId="0" applyFont="1" applyFill="1" applyBorder="1" applyAlignment="1">
      <alignment horizontal="center"/>
    </xf>
    <xf numFmtId="0" fontId="27" fillId="0" borderId="18" xfId="0" applyFont="1" applyBorder="1" applyAlignment="1">
      <alignment wrapText="1"/>
    </xf>
    <xf numFmtId="0" fontId="27" fillId="0" borderId="45" xfId="0" applyFont="1" applyBorder="1" applyAlignment="1">
      <alignment wrapText="1"/>
    </xf>
    <xf numFmtId="0" fontId="27" fillId="0" borderId="45" xfId="0" applyFont="1" applyFill="1" applyBorder="1" applyAlignment="1">
      <alignment wrapText="1"/>
    </xf>
    <xf numFmtId="0" fontId="8" fillId="0" borderId="45" xfId="0" applyFont="1" applyFill="1" applyBorder="1" applyAlignment="1">
      <alignment wrapText="1"/>
    </xf>
    <xf numFmtId="0" fontId="27" fillId="0" borderId="46" xfId="0" applyFont="1" applyBorder="1" applyAlignment="1">
      <alignment wrapText="1"/>
    </xf>
    <xf numFmtId="0" fontId="27" fillId="0" borderId="2" xfId="0" applyFont="1" applyBorder="1" applyAlignment="1">
      <alignment horizontal="center"/>
    </xf>
    <xf numFmtId="0" fontId="27" fillId="0" borderId="19" xfId="0" applyFont="1" applyBorder="1" applyAlignment="1">
      <alignment horizontal="center"/>
    </xf>
    <xf numFmtId="0" fontId="27" fillId="0" borderId="25" xfId="0" applyFont="1" applyBorder="1" applyAlignment="1">
      <alignment horizontal="center"/>
    </xf>
    <xf numFmtId="0" fontId="3" fillId="0" borderId="37" xfId="0" applyFont="1" applyBorder="1" applyAlignment="1">
      <alignment horizontal="center" vertical="center" shrinkToFit="1"/>
    </xf>
    <xf numFmtId="0" fontId="26" fillId="0" borderId="4" xfId="0" applyFont="1" applyFill="1" applyBorder="1" applyAlignment="1">
      <alignment horizontal="center" vertical="center" wrapText="1"/>
    </xf>
    <xf numFmtId="0" fontId="3" fillId="0" borderId="4" xfId="0" applyFont="1" applyBorder="1" applyAlignment="1">
      <alignment horizontal="center" vertical="center" shrinkToFit="1"/>
    </xf>
    <xf numFmtId="0" fontId="26" fillId="0" borderId="30" xfId="0" applyFont="1" applyBorder="1" applyAlignment="1">
      <alignment horizontal="center" vertical="center" shrinkToFit="1"/>
    </xf>
    <xf numFmtId="0" fontId="3" fillId="2" borderId="3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43" fontId="3" fillId="3" borderId="30" xfId="1" applyFont="1" applyFill="1" applyBorder="1" applyAlignment="1">
      <alignment horizontal="center" vertical="center" wrapText="1"/>
    </xf>
    <xf numFmtId="43" fontId="3" fillId="0" borderId="31" xfId="1" applyFont="1" applyFill="1" applyBorder="1" applyAlignment="1">
      <alignment horizontal="center" vertical="center" wrapText="1"/>
    </xf>
    <xf numFmtId="43" fontId="3" fillId="4" borderId="4" xfId="1" applyFont="1" applyFill="1" applyBorder="1" applyAlignment="1">
      <alignment horizontal="center" vertical="center" wrapText="1"/>
    </xf>
    <xf numFmtId="0" fontId="26" fillId="0" borderId="4" xfId="0" applyFont="1" applyBorder="1" applyAlignment="1">
      <alignment horizontal="center" vertical="center" shrinkToFit="1"/>
    </xf>
    <xf numFmtId="0" fontId="8" fillId="0" borderId="45" xfId="0" applyFont="1" applyFill="1" applyBorder="1" applyAlignment="1">
      <alignment horizontal="left"/>
    </xf>
    <xf numFmtId="0" fontId="8" fillId="0" borderId="47" xfId="0" applyFont="1" applyFill="1" applyBorder="1" applyAlignment="1">
      <alignment wrapText="1"/>
    </xf>
    <xf numFmtId="0" fontId="28" fillId="0" borderId="45" xfId="0" applyFont="1" applyBorder="1" applyAlignment="1">
      <alignment horizontal="justify" vertical="center"/>
    </xf>
    <xf numFmtId="0" fontId="27" fillId="0" borderId="45" xfId="0" applyFont="1" applyBorder="1"/>
    <xf numFmtId="0" fontId="3" fillId="0" borderId="11" xfId="0" applyFont="1" applyBorder="1" applyAlignment="1">
      <alignment horizontal="center" vertical="center" shrinkToFit="1"/>
    </xf>
    <xf numFmtId="0" fontId="27" fillId="0" borderId="2" xfId="0" applyFont="1" applyBorder="1" applyAlignment="1">
      <alignment horizontal="center" wrapText="1"/>
    </xf>
    <xf numFmtId="0" fontId="26" fillId="0" borderId="11" xfId="0" applyFont="1" applyFill="1" applyBorder="1" applyAlignment="1">
      <alignment horizontal="center" vertical="center" wrapText="1"/>
    </xf>
    <xf numFmtId="0" fontId="26" fillId="0" borderId="11" xfId="0" applyFont="1" applyBorder="1" applyAlignment="1">
      <alignment horizontal="center" vertical="center" shrinkToFi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43" fontId="3" fillId="3" borderId="11" xfId="1" applyFont="1" applyFill="1" applyBorder="1" applyAlignment="1">
      <alignment horizontal="center" vertical="center" wrapText="1"/>
    </xf>
    <xf numFmtId="43" fontId="3" fillId="4" borderId="11" xfId="1" applyFont="1" applyFill="1" applyBorder="1" applyAlignment="1">
      <alignment horizontal="center" vertical="center" wrapText="1"/>
    </xf>
    <xf numFmtId="0" fontId="8" fillId="0" borderId="35" xfId="0" applyFont="1" applyFill="1" applyBorder="1" applyAlignment="1">
      <alignment horizontal="center"/>
    </xf>
    <xf numFmtId="0" fontId="27" fillId="0" borderId="19" xfId="0" applyFont="1" applyBorder="1" applyAlignment="1">
      <alignment horizontal="center" wrapText="1"/>
    </xf>
    <xf numFmtId="0" fontId="8" fillId="0" borderId="18" xfId="0" applyFont="1" applyFill="1" applyBorder="1" applyAlignment="1">
      <alignment wrapText="1"/>
    </xf>
    <xf numFmtId="0" fontId="28" fillId="0" borderId="45" xfId="0" applyFont="1" applyBorder="1" applyAlignment="1">
      <alignment wrapText="1"/>
    </xf>
    <xf numFmtId="0" fontId="8" fillId="0" borderId="18" xfId="0" applyFont="1" applyFill="1" applyBorder="1" applyAlignment="1">
      <alignment horizontal="left"/>
    </xf>
    <xf numFmtId="0" fontId="8" fillId="0" borderId="18" xfId="0" applyFont="1" applyFill="1" applyBorder="1" applyAlignment="1">
      <alignment horizontal="center" wrapText="1"/>
    </xf>
    <xf numFmtId="0" fontId="27" fillId="0" borderId="45" xfId="0" applyFont="1" applyBorder="1" applyAlignment="1">
      <alignment horizontal="center" wrapText="1"/>
    </xf>
    <xf numFmtId="0" fontId="8" fillId="0" borderId="45" xfId="0" applyFont="1" applyFill="1" applyBorder="1"/>
    <xf numFmtId="0" fontId="31" fillId="0" borderId="45" xfId="0" applyFont="1" applyBorder="1" applyAlignment="1">
      <alignment wrapText="1"/>
    </xf>
    <xf numFmtId="0" fontId="31" fillId="0" borderId="45" xfId="0" applyFont="1" applyBorder="1"/>
    <xf numFmtId="0" fontId="28" fillId="0" borderId="0" xfId="0" applyFont="1" applyBorder="1"/>
    <xf numFmtId="0" fontId="31" fillId="0" borderId="0" xfId="0" applyFont="1" applyBorder="1" applyAlignment="1">
      <alignment wrapText="1"/>
    </xf>
    <xf numFmtId="0" fontId="27" fillId="0" borderId="25" xfId="0" applyFont="1" applyBorder="1" applyAlignment="1">
      <alignment horizontal="center" wrapText="1"/>
    </xf>
    <xf numFmtId="0" fontId="5" fillId="0" borderId="0" xfId="0" applyFont="1" applyFill="1" applyBorder="1" applyAlignment="1">
      <alignment horizontal="center"/>
    </xf>
    <xf numFmtId="0" fontId="28" fillId="0" borderId="45" xfId="0" applyFont="1" applyBorder="1"/>
    <xf numFmtId="0" fontId="26" fillId="0" borderId="28" xfId="0" applyFont="1" applyFill="1" applyBorder="1" applyAlignment="1">
      <alignment horizontal="center" vertical="center" wrapText="1"/>
    </xf>
    <xf numFmtId="0" fontId="28" fillId="0" borderId="18" xfId="0" applyFont="1" applyBorder="1" applyAlignment="1">
      <alignment wrapText="1"/>
    </xf>
    <xf numFmtId="0" fontId="27" fillId="0" borderId="0" xfId="0" applyFont="1" applyBorder="1"/>
    <xf numFmtId="0" fontId="5" fillId="0" borderId="0" xfId="0" applyFont="1" applyFill="1" applyBorder="1" applyAlignment="1">
      <alignment horizontal="center"/>
    </xf>
    <xf numFmtId="0" fontId="3" fillId="0" borderId="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8" xfId="0" applyFont="1" applyBorder="1" applyAlignment="1">
      <alignment horizontal="center" vertical="center" shrinkToFit="1"/>
    </xf>
    <xf numFmtId="0" fontId="32" fillId="0" borderId="2" xfId="0" applyFont="1" applyBorder="1" applyAlignment="1">
      <alignment horizontal="center"/>
    </xf>
    <xf numFmtId="0" fontId="8" fillId="0" borderId="46" xfId="0" applyFont="1" applyFill="1" applyBorder="1" applyAlignment="1">
      <alignment wrapText="1"/>
    </xf>
    <xf numFmtId="0" fontId="27" fillId="0" borderId="30" xfId="0" applyFont="1" applyBorder="1" applyAlignment="1">
      <alignment wrapText="1"/>
    </xf>
    <xf numFmtId="0" fontId="33" fillId="0" borderId="45" xfId="0" applyFont="1" applyBorder="1" applyAlignment="1">
      <alignment wrapText="1"/>
    </xf>
    <xf numFmtId="0" fontId="34" fillId="0" borderId="46" xfId="0" applyFont="1" applyBorder="1" applyAlignment="1">
      <alignment wrapText="1"/>
    </xf>
    <xf numFmtId="0" fontId="8" fillId="0" borderId="45" xfId="0" applyFont="1" applyFill="1" applyBorder="1" applyAlignment="1">
      <alignment horizontal="center" wrapText="1"/>
    </xf>
    <xf numFmtId="0" fontId="9" fillId="0" borderId="48" xfId="0" applyFont="1" applyFill="1" applyBorder="1" applyAlignment="1">
      <alignment horizontal="center"/>
    </xf>
    <xf numFmtId="0" fontId="8" fillId="0" borderId="48" xfId="0" applyFont="1" applyFill="1" applyBorder="1" applyAlignment="1">
      <alignment horizontal="center" wrapText="1"/>
    </xf>
    <xf numFmtId="0" fontId="8" fillId="0" borderId="49" xfId="0" applyFont="1" applyFill="1" applyBorder="1" applyAlignment="1">
      <alignment horizontal="center" wrapText="1"/>
    </xf>
    <xf numFmtId="164" fontId="10" fillId="0" borderId="48" xfId="0" applyNumberFormat="1" applyFont="1" applyFill="1" applyBorder="1" applyAlignment="1">
      <alignment horizontal="center"/>
    </xf>
    <xf numFmtId="0" fontId="8" fillId="0" borderId="48" xfId="0" applyFont="1" applyFill="1" applyBorder="1" applyAlignment="1">
      <alignment horizontal="center"/>
    </xf>
    <xf numFmtId="0" fontId="8" fillId="0" borderId="48" xfId="0" applyNumberFormat="1" applyFont="1" applyFill="1" applyBorder="1" applyAlignment="1">
      <alignment horizontal="center"/>
    </xf>
    <xf numFmtId="43" fontId="9" fillId="2" borderId="48" xfId="1" applyFont="1" applyFill="1" applyBorder="1" applyAlignment="1">
      <alignment vertical="center"/>
    </xf>
    <xf numFmtId="43" fontId="9" fillId="0" borderId="48" xfId="1" applyFont="1" applyFill="1" applyBorder="1" applyAlignment="1">
      <alignment horizontal="center" vertical="center"/>
    </xf>
    <xf numFmtId="43" fontId="9" fillId="3" borderId="48" xfId="1" applyFont="1" applyFill="1" applyBorder="1" applyAlignment="1">
      <alignment horizontal="center" vertical="center"/>
    </xf>
    <xf numFmtId="43" fontId="9" fillId="4" borderId="48" xfId="1" applyFont="1" applyFill="1" applyBorder="1" applyAlignment="1">
      <alignment horizontal="center" vertical="center"/>
    </xf>
    <xf numFmtId="43" fontId="3" fillId="0" borderId="50" xfId="1" applyFont="1" applyFill="1" applyBorder="1" applyAlignment="1">
      <alignment vertical="center" wrapText="1"/>
    </xf>
    <xf numFmtId="0" fontId="5" fillId="0" borderId="0" xfId="0" applyFont="1" applyFill="1" applyBorder="1" applyAlignment="1">
      <alignment horizontal="center"/>
    </xf>
    <xf numFmtId="0" fontId="3" fillId="0" borderId="29" xfId="0" applyFont="1" applyBorder="1" applyAlignment="1">
      <alignment horizontal="center" vertical="center" shrinkToFit="1"/>
    </xf>
    <xf numFmtId="0" fontId="3" fillId="0" borderId="32" xfId="0" applyFont="1" applyBorder="1" applyAlignment="1">
      <alignment horizontal="center" vertical="center" shrinkToFit="1"/>
    </xf>
    <xf numFmtId="0" fontId="27" fillId="0" borderId="45" xfId="0" applyFont="1" applyBorder="1" applyAlignment="1">
      <alignment horizontal="justify" vertical="center"/>
    </xf>
    <xf numFmtId="0" fontId="35" fillId="0" borderId="45" xfId="0" applyFont="1" applyBorder="1" applyAlignment="1">
      <alignment wrapText="1"/>
    </xf>
    <xf numFmtId="0" fontId="27" fillId="0" borderId="47" xfId="0" applyFont="1" applyBorder="1" applyAlignment="1">
      <alignment wrapText="1"/>
    </xf>
    <xf numFmtId="0" fontId="27" fillId="0" borderId="46" xfId="0" applyFont="1" applyBorder="1"/>
    <xf numFmtId="0" fontId="3" fillId="2" borderId="14" xfId="0" applyFont="1" applyFill="1" applyBorder="1" applyAlignment="1">
      <alignment horizontal="center" vertical="center" wrapText="1"/>
    </xf>
    <xf numFmtId="43" fontId="3" fillId="0" borderId="15" xfId="1" applyFont="1" applyFill="1" applyBorder="1" applyAlignment="1">
      <alignment horizontal="center" vertical="center" wrapText="1"/>
    </xf>
    <xf numFmtId="0" fontId="3" fillId="0" borderId="14" xfId="0" applyFont="1" applyBorder="1" applyAlignment="1">
      <alignment horizontal="center" vertical="center" wrapText="1"/>
    </xf>
    <xf numFmtId="43" fontId="3" fillId="3" borderId="4"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27" fillId="0" borderId="2" xfId="0" applyFont="1" applyBorder="1" applyAlignment="1">
      <alignment wrapText="1"/>
    </xf>
    <xf numFmtId="0" fontId="27" fillId="0" borderId="2" xfId="0" applyFont="1" applyBorder="1"/>
    <xf numFmtId="0" fontId="27" fillId="0" borderId="2" xfId="0" applyFont="1" applyBorder="1" applyAlignment="1">
      <alignment horizontal="left" wrapText="1"/>
    </xf>
    <xf numFmtId="0" fontId="27" fillId="0" borderId="19" xfId="0" applyFont="1" applyBorder="1" applyAlignment="1">
      <alignment wrapText="1"/>
    </xf>
    <xf numFmtId="0" fontId="28" fillId="0" borderId="0" xfId="0" applyFont="1" applyBorder="1" applyAlignment="1">
      <alignment wrapText="1"/>
    </xf>
    <xf numFmtId="0" fontId="10" fillId="0" borderId="45" xfId="0" applyFont="1" applyFill="1" applyBorder="1" applyAlignment="1">
      <alignment wrapText="1"/>
    </xf>
    <xf numFmtId="0" fontId="27" fillId="0" borderId="45" xfId="0" applyFont="1" applyBorder="1" applyAlignment="1">
      <alignment horizontal="left" wrapText="1"/>
    </xf>
    <xf numFmtId="0" fontId="3" fillId="0" borderId="30" xfId="0" applyFont="1" applyBorder="1" applyAlignment="1">
      <alignment horizontal="center" vertical="center" wrapText="1"/>
    </xf>
    <xf numFmtId="0" fontId="27" fillId="0" borderId="25" xfId="0" applyFont="1" applyBorder="1"/>
    <xf numFmtId="0" fontId="27" fillId="0" borderId="2" xfId="0" applyFont="1" applyBorder="1" applyAlignment="1">
      <alignment horizontal="left"/>
    </xf>
    <xf numFmtId="0" fontId="27" fillId="0" borderId="0" xfId="0" applyFont="1" applyBorder="1" applyAlignment="1">
      <alignment horizontal="left" wrapText="1"/>
    </xf>
    <xf numFmtId="0" fontId="27" fillId="0" borderId="51" xfId="0" applyFont="1" applyBorder="1" applyAlignment="1">
      <alignment horizontal="center" wrapText="1"/>
    </xf>
    <xf numFmtId="0" fontId="27" fillId="0" borderId="45" xfId="0" applyFont="1" applyBorder="1" applyAlignment="1">
      <alignment horizontal="justify" vertical="center" wrapText="1"/>
    </xf>
    <xf numFmtId="0" fontId="5" fillId="0" borderId="0" xfId="0" applyFont="1" applyFill="1" applyBorder="1" applyAlignment="1">
      <alignment horizontal="center"/>
    </xf>
    <xf numFmtId="0" fontId="13" fillId="0" borderId="0" xfId="0" applyFont="1" applyFill="1" applyBorder="1" applyAlignment="1">
      <alignment horizontal="center"/>
    </xf>
    <xf numFmtId="0" fontId="14" fillId="0" borderId="0" xfId="0" applyFont="1" applyBorder="1" applyAlignment="1">
      <alignment horizontal="center"/>
    </xf>
    <xf numFmtId="0" fontId="20" fillId="0" borderId="5" xfId="0" applyFont="1" applyFill="1" applyBorder="1" applyAlignment="1">
      <alignment horizontal="center"/>
    </xf>
    <xf numFmtId="0" fontId="20" fillId="0" borderId="14" xfId="0" applyFont="1" applyFill="1" applyBorder="1" applyAlignment="1">
      <alignment horizontal="center"/>
    </xf>
    <xf numFmtId="0" fontId="20" fillId="0" borderId="15" xfId="0" applyFont="1" applyFill="1" applyBorder="1" applyAlignment="1">
      <alignment horizontal="center"/>
    </xf>
    <xf numFmtId="0" fontId="3" fillId="0" borderId="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1" xfId="0" applyFont="1" applyFill="1" applyBorder="1" applyAlignment="1">
      <alignment horizontal="center"/>
    </xf>
    <xf numFmtId="0" fontId="3" fillId="0" borderId="3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2" xfId="0" applyFont="1" applyBorder="1" applyAlignment="1">
      <alignment horizontal="center" vertical="center" shrinkToFit="1"/>
    </xf>
    <xf numFmtId="0" fontId="20" fillId="0" borderId="37" xfId="0" applyFont="1" applyFill="1" applyBorder="1" applyAlignment="1">
      <alignment horizontal="center"/>
    </xf>
    <xf numFmtId="0" fontId="20" fillId="0" borderId="30" xfId="0" applyFont="1" applyFill="1" applyBorder="1" applyAlignment="1">
      <alignment horizontal="center"/>
    </xf>
    <xf numFmtId="0" fontId="20" fillId="0" borderId="31" xfId="0" applyFont="1" applyFill="1" applyBorder="1" applyAlignment="1">
      <alignment horizontal="center"/>
    </xf>
    <xf numFmtId="0" fontId="3" fillId="0" borderId="17" xfId="0" applyFont="1" applyBorder="1" applyAlignment="1">
      <alignment horizontal="center" vertical="center" shrinkToFit="1"/>
    </xf>
    <xf numFmtId="0" fontId="3" fillId="0" borderId="38" xfId="0" applyFont="1" applyBorder="1" applyAlignment="1">
      <alignment horizontal="center" vertical="center" shrinkToFit="1"/>
    </xf>
  </cellXfs>
  <cellStyles count="2">
    <cellStyle name="Normal" xfId="0" builtinId="0"/>
    <cellStyle name="Vírgula"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2:AB100"/>
  <sheetViews>
    <sheetView showGridLines="0" tabSelected="1" zoomScale="90" zoomScaleNormal="90" workbookViewId="0">
      <selection activeCell="F22" sqref="F22"/>
    </sheetView>
  </sheetViews>
  <sheetFormatPr defaultRowHeight="15" x14ac:dyDescent="0.25"/>
  <cols>
    <col min="1" max="1" width="7.42578125" customWidth="1"/>
    <col min="2" max="2" width="12.7109375" customWidth="1"/>
    <col min="3" max="3" width="15.28515625" style="1" customWidth="1"/>
    <col min="4" max="4" width="28.5703125" customWidth="1"/>
    <col min="5" max="5" width="30" style="2" customWidth="1"/>
    <col min="6" max="6" width="22.5703125" style="4" customWidth="1"/>
    <col min="7" max="7" width="26.140625" style="4" customWidth="1"/>
    <col min="8" max="8" width="17.5703125" style="5" customWidth="1"/>
    <col min="9" max="9" width="17.28515625" style="6" customWidth="1"/>
    <col min="10" max="10" width="18" style="6" customWidth="1"/>
    <col min="12" max="12" width="12.140625" customWidth="1"/>
    <col min="243" max="243" width="7.42578125" customWidth="1"/>
    <col min="244" max="244" width="22.7109375" customWidth="1"/>
    <col min="245" max="245" width="14.42578125" customWidth="1"/>
    <col min="246" max="246" width="16.42578125" customWidth="1"/>
    <col min="247" max="247" width="8.140625" customWidth="1"/>
    <col min="248" max="248" width="10.85546875" customWidth="1"/>
    <col min="249" max="249" width="38.85546875" customWidth="1"/>
    <col min="250" max="250" width="25.5703125" customWidth="1"/>
    <col min="254" max="254" width="44.85546875" customWidth="1"/>
    <col min="255" max="255" width="14.42578125" customWidth="1"/>
    <col min="256" max="256" width="13.7109375" customWidth="1"/>
    <col min="257" max="257" width="13.85546875" customWidth="1"/>
    <col min="258" max="258" width="13.5703125" customWidth="1"/>
    <col min="259" max="259" width="11.7109375" customWidth="1"/>
    <col min="260" max="260" width="14" customWidth="1"/>
    <col min="261" max="261" width="16.28515625" customWidth="1"/>
    <col min="262" max="262" width="12.5703125" customWidth="1"/>
    <col min="263" max="263" width="13.28515625" customWidth="1"/>
    <col min="264" max="264" width="14.85546875" customWidth="1"/>
    <col min="265" max="265" width="18" customWidth="1"/>
    <col min="266" max="266" width="24" customWidth="1"/>
    <col min="499" max="499" width="7.42578125" customWidth="1"/>
    <col min="500" max="500" width="22.7109375" customWidth="1"/>
    <col min="501" max="501" width="14.42578125" customWidth="1"/>
    <col min="502" max="502" width="16.42578125" customWidth="1"/>
    <col min="503" max="503" width="8.140625" customWidth="1"/>
    <col min="504" max="504" width="10.85546875" customWidth="1"/>
    <col min="505" max="505" width="38.85546875" customWidth="1"/>
    <col min="506" max="506" width="25.5703125" customWidth="1"/>
    <col min="510" max="510" width="44.85546875" customWidth="1"/>
    <col min="511" max="511" width="14.42578125" customWidth="1"/>
    <col min="512" max="512" width="13.7109375" customWidth="1"/>
    <col min="513" max="513" width="13.85546875" customWidth="1"/>
    <col min="514" max="514" width="13.5703125" customWidth="1"/>
    <col min="515" max="515" width="11.7109375" customWidth="1"/>
    <col min="516" max="516" width="14" customWidth="1"/>
    <col min="517" max="517" width="16.28515625" customWidth="1"/>
    <col min="518" max="518" width="12.5703125" customWidth="1"/>
    <col min="519" max="519" width="13.28515625" customWidth="1"/>
    <col min="520" max="520" width="14.85546875" customWidth="1"/>
    <col min="521" max="521" width="18" customWidth="1"/>
    <col min="522" max="522" width="24" customWidth="1"/>
    <col min="755" max="755" width="7.42578125" customWidth="1"/>
    <col min="756" max="756" width="22.7109375" customWidth="1"/>
    <col min="757" max="757" width="14.42578125" customWidth="1"/>
    <col min="758" max="758" width="16.42578125" customWidth="1"/>
    <col min="759" max="759" width="8.140625" customWidth="1"/>
    <col min="760" max="760" width="10.85546875" customWidth="1"/>
    <col min="761" max="761" width="38.85546875" customWidth="1"/>
    <col min="762" max="762" width="25.5703125" customWidth="1"/>
    <col min="766" max="766" width="44.85546875" customWidth="1"/>
    <col min="767" max="767" width="14.42578125" customWidth="1"/>
    <col min="768" max="768" width="13.7109375" customWidth="1"/>
    <col min="769" max="769" width="13.85546875" customWidth="1"/>
    <col min="770" max="770" width="13.5703125" customWidth="1"/>
    <col min="771" max="771" width="11.7109375" customWidth="1"/>
    <col min="772" max="772" width="14" customWidth="1"/>
    <col min="773" max="773" width="16.28515625" customWidth="1"/>
    <col min="774" max="774" width="12.5703125" customWidth="1"/>
    <col min="775" max="775" width="13.28515625" customWidth="1"/>
    <col min="776" max="776" width="14.85546875" customWidth="1"/>
    <col min="777" max="777" width="18" customWidth="1"/>
    <col min="778" max="778" width="24" customWidth="1"/>
    <col min="1011" max="1011" width="7.42578125" customWidth="1"/>
    <col min="1012" max="1012" width="22.7109375" customWidth="1"/>
    <col min="1013" max="1013" width="14.42578125" customWidth="1"/>
    <col min="1014" max="1014" width="16.42578125" customWidth="1"/>
    <col min="1015" max="1015" width="8.140625" customWidth="1"/>
    <col min="1016" max="1016" width="10.85546875" customWidth="1"/>
    <col min="1017" max="1017" width="38.85546875" customWidth="1"/>
    <col min="1018" max="1018" width="25.5703125" customWidth="1"/>
    <col min="1022" max="1022" width="44.85546875" customWidth="1"/>
    <col min="1023" max="1023" width="14.42578125" customWidth="1"/>
    <col min="1024" max="1024" width="13.7109375" customWidth="1"/>
    <col min="1025" max="1025" width="13.85546875" customWidth="1"/>
    <col min="1026" max="1026" width="13.5703125" customWidth="1"/>
    <col min="1027" max="1027" width="11.7109375" customWidth="1"/>
    <col min="1028" max="1028" width="14" customWidth="1"/>
    <col min="1029" max="1029" width="16.28515625" customWidth="1"/>
    <col min="1030" max="1030" width="12.5703125" customWidth="1"/>
    <col min="1031" max="1031" width="13.28515625" customWidth="1"/>
    <col min="1032" max="1032" width="14.85546875" customWidth="1"/>
    <col min="1033" max="1033" width="18" customWidth="1"/>
    <col min="1034" max="1034" width="24" customWidth="1"/>
    <col min="1267" max="1267" width="7.42578125" customWidth="1"/>
    <col min="1268" max="1268" width="22.7109375" customWidth="1"/>
    <col min="1269" max="1269" width="14.42578125" customWidth="1"/>
    <col min="1270" max="1270" width="16.42578125" customWidth="1"/>
    <col min="1271" max="1271" width="8.140625" customWidth="1"/>
    <col min="1272" max="1272" width="10.85546875" customWidth="1"/>
    <col min="1273" max="1273" width="38.85546875" customWidth="1"/>
    <col min="1274" max="1274" width="25.5703125" customWidth="1"/>
    <col min="1278" max="1278" width="44.85546875" customWidth="1"/>
    <col min="1279" max="1279" width="14.42578125" customWidth="1"/>
    <col min="1280" max="1280" width="13.7109375" customWidth="1"/>
    <col min="1281" max="1281" width="13.85546875" customWidth="1"/>
    <col min="1282" max="1282" width="13.5703125" customWidth="1"/>
    <col min="1283" max="1283" width="11.7109375" customWidth="1"/>
    <col min="1284" max="1284" width="14" customWidth="1"/>
    <col min="1285" max="1285" width="16.28515625" customWidth="1"/>
    <col min="1286" max="1286" width="12.5703125" customWidth="1"/>
    <col min="1287" max="1287" width="13.28515625" customWidth="1"/>
    <col min="1288" max="1288" width="14.85546875" customWidth="1"/>
    <col min="1289" max="1289" width="18" customWidth="1"/>
    <col min="1290" max="1290" width="24" customWidth="1"/>
    <col min="1523" max="1523" width="7.42578125" customWidth="1"/>
    <col min="1524" max="1524" width="22.7109375" customWidth="1"/>
    <col min="1525" max="1525" width="14.42578125" customWidth="1"/>
    <col min="1526" max="1526" width="16.42578125" customWidth="1"/>
    <col min="1527" max="1527" width="8.140625" customWidth="1"/>
    <col min="1528" max="1528" width="10.85546875" customWidth="1"/>
    <col min="1529" max="1529" width="38.85546875" customWidth="1"/>
    <col min="1530" max="1530" width="25.5703125" customWidth="1"/>
    <col min="1534" max="1534" width="44.85546875" customWidth="1"/>
    <col min="1535" max="1535" width="14.42578125" customWidth="1"/>
    <col min="1536" max="1536" width="13.7109375" customWidth="1"/>
    <col min="1537" max="1537" width="13.85546875" customWidth="1"/>
    <col min="1538" max="1538" width="13.5703125" customWidth="1"/>
    <col min="1539" max="1539" width="11.7109375" customWidth="1"/>
    <col min="1540" max="1540" width="14" customWidth="1"/>
    <col min="1541" max="1541" width="16.28515625" customWidth="1"/>
    <col min="1542" max="1542" width="12.5703125" customWidth="1"/>
    <col min="1543" max="1543" width="13.28515625" customWidth="1"/>
    <col min="1544" max="1544" width="14.85546875" customWidth="1"/>
    <col min="1545" max="1545" width="18" customWidth="1"/>
    <col min="1546" max="1546" width="24" customWidth="1"/>
    <col min="1779" max="1779" width="7.42578125" customWidth="1"/>
    <col min="1780" max="1780" width="22.7109375" customWidth="1"/>
    <col min="1781" max="1781" width="14.42578125" customWidth="1"/>
    <col min="1782" max="1782" width="16.42578125" customWidth="1"/>
    <col min="1783" max="1783" width="8.140625" customWidth="1"/>
    <col min="1784" max="1784" width="10.85546875" customWidth="1"/>
    <col min="1785" max="1785" width="38.85546875" customWidth="1"/>
    <col min="1786" max="1786" width="25.5703125" customWidth="1"/>
    <col min="1790" max="1790" width="44.85546875" customWidth="1"/>
    <col min="1791" max="1791" width="14.42578125" customWidth="1"/>
    <col min="1792" max="1792" width="13.7109375" customWidth="1"/>
    <col min="1793" max="1793" width="13.85546875" customWidth="1"/>
    <col min="1794" max="1794" width="13.5703125" customWidth="1"/>
    <col min="1795" max="1795" width="11.7109375" customWidth="1"/>
    <col min="1796" max="1796" width="14" customWidth="1"/>
    <col min="1797" max="1797" width="16.28515625" customWidth="1"/>
    <col min="1798" max="1798" width="12.5703125" customWidth="1"/>
    <col min="1799" max="1799" width="13.28515625" customWidth="1"/>
    <col min="1800" max="1800" width="14.85546875" customWidth="1"/>
    <col min="1801" max="1801" width="18" customWidth="1"/>
    <col min="1802" max="1802" width="24" customWidth="1"/>
    <col min="2035" max="2035" width="7.42578125" customWidth="1"/>
    <col min="2036" max="2036" width="22.7109375" customWidth="1"/>
    <col min="2037" max="2037" width="14.42578125" customWidth="1"/>
    <col min="2038" max="2038" width="16.42578125" customWidth="1"/>
    <col min="2039" max="2039" width="8.140625" customWidth="1"/>
    <col min="2040" max="2040" width="10.85546875" customWidth="1"/>
    <col min="2041" max="2041" width="38.85546875" customWidth="1"/>
    <col min="2042" max="2042" width="25.5703125" customWidth="1"/>
    <col min="2046" max="2046" width="44.85546875" customWidth="1"/>
    <col min="2047" max="2047" width="14.42578125" customWidth="1"/>
    <col min="2048" max="2048" width="13.7109375" customWidth="1"/>
    <col min="2049" max="2049" width="13.85546875" customWidth="1"/>
    <col min="2050" max="2050" width="13.5703125" customWidth="1"/>
    <col min="2051" max="2051" width="11.7109375" customWidth="1"/>
    <col min="2052" max="2052" width="14" customWidth="1"/>
    <col min="2053" max="2053" width="16.28515625" customWidth="1"/>
    <col min="2054" max="2054" width="12.5703125" customWidth="1"/>
    <col min="2055" max="2055" width="13.28515625" customWidth="1"/>
    <col min="2056" max="2056" width="14.85546875" customWidth="1"/>
    <col min="2057" max="2057" width="18" customWidth="1"/>
    <col min="2058" max="2058" width="24" customWidth="1"/>
    <col min="2291" max="2291" width="7.42578125" customWidth="1"/>
    <col min="2292" max="2292" width="22.7109375" customWidth="1"/>
    <col min="2293" max="2293" width="14.42578125" customWidth="1"/>
    <col min="2294" max="2294" width="16.42578125" customWidth="1"/>
    <col min="2295" max="2295" width="8.140625" customWidth="1"/>
    <col min="2296" max="2296" width="10.85546875" customWidth="1"/>
    <col min="2297" max="2297" width="38.85546875" customWidth="1"/>
    <col min="2298" max="2298" width="25.5703125" customWidth="1"/>
    <col min="2302" max="2302" width="44.85546875" customWidth="1"/>
    <col min="2303" max="2303" width="14.42578125" customWidth="1"/>
    <col min="2304" max="2304" width="13.7109375" customWidth="1"/>
    <col min="2305" max="2305" width="13.85546875" customWidth="1"/>
    <col min="2306" max="2306" width="13.5703125" customWidth="1"/>
    <col min="2307" max="2307" width="11.7109375" customWidth="1"/>
    <col min="2308" max="2308" width="14" customWidth="1"/>
    <col min="2309" max="2309" width="16.28515625" customWidth="1"/>
    <col min="2310" max="2310" width="12.5703125" customWidth="1"/>
    <col min="2311" max="2311" width="13.28515625" customWidth="1"/>
    <col min="2312" max="2312" width="14.85546875" customWidth="1"/>
    <col min="2313" max="2313" width="18" customWidth="1"/>
    <col min="2314" max="2314" width="24" customWidth="1"/>
    <col min="2547" max="2547" width="7.42578125" customWidth="1"/>
    <col min="2548" max="2548" width="22.7109375" customWidth="1"/>
    <col min="2549" max="2549" width="14.42578125" customWidth="1"/>
    <col min="2550" max="2550" width="16.42578125" customWidth="1"/>
    <col min="2551" max="2551" width="8.140625" customWidth="1"/>
    <col min="2552" max="2552" width="10.85546875" customWidth="1"/>
    <col min="2553" max="2553" width="38.85546875" customWidth="1"/>
    <col min="2554" max="2554" width="25.5703125" customWidth="1"/>
    <col min="2558" max="2558" width="44.85546875" customWidth="1"/>
    <col min="2559" max="2559" width="14.42578125" customWidth="1"/>
    <col min="2560" max="2560" width="13.7109375" customWidth="1"/>
    <col min="2561" max="2561" width="13.85546875" customWidth="1"/>
    <col min="2562" max="2562" width="13.5703125" customWidth="1"/>
    <col min="2563" max="2563" width="11.7109375" customWidth="1"/>
    <col min="2564" max="2564" width="14" customWidth="1"/>
    <col min="2565" max="2565" width="16.28515625" customWidth="1"/>
    <col min="2566" max="2566" width="12.5703125" customWidth="1"/>
    <col min="2567" max="2567" width="13.28515625" customWidth="1"/>
    <col min="2568" max="2568" width="14.85546875" customWidth="1"/>
    <col min="2569" max="2569" width="18" customWidth="1"/>
    <col min="2570" max="2570" width="24" customWidth="1"/>
    <col min="2803" max="2803" width="7.42578125" customWidth="1"/>
    <col min="2804" max="2804" width="22.7109375" customWidth="1"/>
    <col min="2805" max="2805" width="14.42578125" customWidth="1"/>
    <col min="2806" max="2806" width="16.42578125" customWidth="1"/>
    <col min="2807" max="2807" width="8.140625" customWidth="1"/>
    <col min="2808" max="2808" width="10.85546875" customWidth="1"/>
    <col min="2809" max="2809" width="38.85546875" customWidth="1"/>
    <col min="2810" max="2810" width="25.5703125" customWidth="1"/>
    <col min="2814" max="2814" width="44.85546875" customWidth="1"/>
    <col min="2815" max="2815" width="14.42578125" customWidth="1"/>
    <col min="2816" max="2816" width="13.7109375" customWidth="1"/>
    <col min="2817" max="2817" width="13.85546875" customWidth="1"/>
    <col min="2818" max="2818" width="13.5703125" customWidth="1"/>
    <col min="2819" max="2819" width="11.7109375" customWidth="1"/>
    <col min="2820" max="2820" width="14" customWidth="1"/>
    <col min="2821" max="2821" width="16.28515625" customWidth="1"/>
    <col min="2822" max="2822" width="12.5703125" customWidth="1"/>
    <col min="2823" max="2823" width="13.28515625" customWidth="1"/>
    <col min="2824" max="2824" width="14.85546875" customWidth="1"/>
    <col min="2825" max="2825" width="18" customWidth="1"/>
    <col min="2826" max="2826" width="24" customWidth="1"/>
    <col min="3059" max="3059" width="7.42578125" customWidth="1"/>
    <col min="3060" max="3060" width="22.7109375" customWidth="1"/>
    <col min="3061" max="3061" width="14.42578125" customWidth="1"/>
    <col min="3062" max="3062" width="16.42578125" customWidth="1"/>
    <col min="3063" max="3063" width="8.140625" customWidth="1"/>
    <col min="3064" max="3064" width="10.85546875" customWidth="1"/>
    <col min="3065" max="3065" width="38.85546875" customWidth="1"/>
    <col min="3066" max="3066" width="25.5703125" customWidth="1"/>
    <col min="3070" max="3070" width="44.85546875" customWidth="1"/>
    <col min="3071" max="3071" width="14.42578125" customWidth="1"/>
    <col min="3072" max="3072" width="13.7109375" customWidth="1"/>
    <col min="3073" max="3073" width="13.85546875" customWidth="1"/>
    <col min="3074" max="3074" width="13.5703125" customWidth="1"/>
    <col min="3075" max="3075" width="11.7109375" customWidth="1"/>
    <col min="3076" max="3076" width="14" customWidth="1"/>
    <col min="3077" max="3077" width="16.28515625" customWidth="1"/>
    <col min="3078" max="3078" width="12.5703125" customWidth="1"/>
    <col min="3079" max="3079" width="13.28515625" customWidth="1"/>
    <col min="3080" max="3080" width="14.85546875" customWidth="1"/>
    <col min="3081" max="3081" width="18" customWidth="1"/>
    <col min="3082" max="3082" width="24" customWidth="1"/>
    <col min="3315" max="3315" width="7.42578125" customWidth="1"/>
    <col min="3316" max="3316" width="22.7109375" customWidth="1"/>
    <col min="3317" max="3317" width="14.42578125" customWidth="1"/>
    <col min="3318" max="3318" width="16.42578125" customWidth="1"/>
    <col min="3319" max="3319" width="8.140625" customWidth="1"/>
    <col min="3320" max="3320" width="10.85546875" customWidth="1"/>
    <col min="3321" max="3321" width="38.85546875" customWidth="1"/>
    <col min="3322" max="3322" width="25.5703125" customWidth="1"/>
    <col min="3326" max="3326" width="44.85546875" customWidth="1"/>
    <col min="3327" max="3327" width="14.42578125" customWidth="1"/>
    <col min="3328" max="3328" width="13.7109375" customWidth="1"/>
    <col min="3329" max="3329" width="13.85546875" customWidth="1"/>
    <col min="3330" max="3330" width="13.5703125" customWidth="1"/>
    <col min="3331" max="3331" width="11.7109375" customWidth="1"/>
    <col min="3332" max="3332" width="14" customWidth="1"/>
    <col min="3333" max="3333" width="16.28515625" customWidth="1"/>
    <col min="3334" max="3334" width="12.5703125" customWidth="1"/>
    <col min="3335" max="3335" width="13.28515625" customWidth="1"/>
    <col min="3336" max="3336" width="14.85546875" customWidth="1"/>
    <col min="3337" max="3337" width="18" customWidth="1"/>
    <col min="3338" max="3338" width="24" customWidth="1"/>
    <col min="3571" max="3571" width="7.42578125" customWidth="1"/>
    <col min="3572" max="3572" width="22.7109375" customWidth="1"/>
    <col min="3573" max="3573" width="14.42578125" customWidth="1"/>
    <col min="3574" max="3574" width="16.42578125" customWidth="1"/>
    <col min="3575" max="3575" width="8.140625" customWidth="1"/>
    <col min="3576" max="3576" width="10.85546875" customWidth="1"/>
    <col min="3577" max="3577" width="38.85546875" customWidth="1"/>
    <col min="3578" max="3578" width="25.5703125" customWidth="1"/>
    <col min="3582" max="3582" width="44.85546875" customWidth="1"/>
    <col min="3583" max="3583" width="14.42578125" customWidth="1"/>
    <col min="3584" max="3584" width="13.7109375" customWidth="1"/>
    <col min="3585" max="3585" width="13.85546875" customWidth="1"/>
    <col min="3586" max="3586" width="13.5703125" customWidth="1"/>
    <col min="3587" max="3587" width="11.7109375" customWidth="1"/>
    <col min="3588" max="3588" width="14" customWidth="1"/>
    <col min="3589" max="3589" width="16.28515625" customWidth="1"/>
    <col min="3590" max="3590" width="12.5703125" customWidth="1"/>
    <col min="3591" max="3591" width="13.28515625" customWidth="1"/>
    <col min="3592" max="3592" width="14.85546875" customWidth="1"/>
    <col min="3593" max="3593" width="18" customWidth="1"/>
    <col min="3594" max="3594" width="24" customWidth="1"/>
    <col min="3827" max="3827" width="7.42578125" customWidth="1"/>
    <col min="3828" max="3828" width="22.7109375" customWidth="1"/>
    <col min="3829" max="3829" width="14.42578125" customWidth="1"/>
    <col min="3830" max="3830" width="16.42578125" customWidth="1"/>
    <col min="3831" max="3831" width="8.140625" customWidth="1"/>
    <col min="3832" max="3832" width="10.85546875" customWidth="1"/>
    <col min="3833" max="3833" width="38.85546875" customWidth="1"/>
    <col min="3834" max="3834" width="25.5703125" customWidth="1"/>
    <col min="3838" max="3838" width="44.85546875" customWidth="1"/>
    <col min="3839" max="3839" width="14.42578125" customWidth="1"/>
    <col min="3840" max="3840" width="13.7109375" customWidth="1"/>
    <col min="3841" max="3841" width="13.85546875" customWidth="1"/>
    <col min="3842" max="3842" width="13.5703125" customWidth="1"/>
    <col min="3843" max="3843" width="11.7109375" customWidth="1"/>
    <col min="3844" max="3844" width="14" customWidth="1"/>
    <col min="3845" max="3845" width="16.28515625" customWidth="1"/>
    <col min="3846" max="3846" width="12.5703125" customWidth="1"/>
    <col min="3847" max="3847" width="13.28515625" customWidth="1"/>
    <col min="3848" max="3848" width="14.85546875" customWidth="1"/>
    <col min="3849" max="3849" width="18" customWidth="1"/>
    <col min="3850" max="3850" width="24" customWidth="1"/>
    <col min="4083" max="4083" width="7.42578125" customWidth="1"/>
    <col min="4084" max="4084" width="22.7109375" customWidth="1"/>
    <col min="4085" max="4085" width="14.42578125" customWidth="1"/>
    <col min="4086" max="4086" width="16.42578125" customWidth="1"/>
    <col min="4087" max="4087" width="8.140625" customWidth="1"/>
    <col min="4088" max="4088" width="10.85546875" customWidth="1"/>
    <col min="4089" max="4089" width="38.85546875" customWidth="1"/>
    <col min="4090" max="4090" width="25.5703125" customWidth="1"/>
    <col min="4094" max="4094" width="44.85546875" customWidth="1"/>
    <col min="4095" max="4095" width="14.42578125" customWidth="1"/>
    <col min="4096" max="4096" width="13.7109375" customWidth="1"/>
    <col min="4097" max="4097" width="13.85546875" customWidth="1"/>
    <col min="4098" max="4098" width="13.5703125" customWidth="1"/>
    <col min="4099" max="4099" width="11.7109375" customWidth="1"/>
    <col min="4100" max="4100" width="14" customWidth="1"/>
    <col min="4101" max="4101" width="16.28515625" customWidth="1"/>
    <col min="4102" max="4102" width="12.5703125" customWidth="1"/>
    <col min="4103" max="4103" width="13.28515625" customWidth="1"/>
    <col min="4104" max="4104" width="14.85546875" customWidth="1"/>
    <col min="4105" max="4105" width="18" customWidth="1"/>
    <col min="4106" max="4106" width="24" customWidth="1"/>
    <col min="4339" max="4339" width="7.42578125" customWidth="1"/>
    <col min="4340" max="4340" width="22.7109375" customWidth="1"/>
    <col min="4341" max="4341" width="14.42578125" customWidth="1"/>
    <col min="4342" max="4342" width="16.42578125" customWidth="1"/>
    <col min="4343" max="4343" width="8.140625" customWidth="1"/>
    <col min="4344" max="4344" width="10.85546875" customWidth="1"/>
    <col min="4345" max="4345" width="38.85546875" customWidth="1"/>
    <col min="4346" max="4346" width="25.5703125" customWidth="1"/>
    <col min="4350" max="4350" width="44.85546875" customWidth="1"/>
    <col min="4351" max="4351" width="14.42578125" customWidth="1"/>
    <col min="4352" max="4352" width="13.7109375" customWidth="1"/>
    <col min="4353" max="4353" width="13.85546875" customWidth="1"/>
    <col min="4354" max="4354" width="13.5703125" customWidth="1"/>
    <col min="4355" max="4355" width="11.7109375" customWidth="1"/>
    <col min="4356" max="4356" width="14" customWidth="1"/>
    <col min="4357" max="4357" width="16.28515625" customWidth="1"/>
    <col min="4358" max="4358" width="12.5703125" customWidth="1"/>
    <col min="4359" max="4359" width="13.28515625" customWidth="1"/>
    <col min="4360" max="4360" width="14.85546875" customWidth="1"/>
    <col min="4361" max="4361" width="18" customWidth="1"/>
    <col min="4362" max="4362" width="24" customWidth="1"/>
    <col min="4595" max="4595" width="7.42578125" customWidth="1"/>
    <col min="4596" max="4596" width="22.7109375" customWidth="1"/>
    <col min="4597" max="4597" width="14.42578125" customWidth="1"/>
    <col min="4598" max="4598" width="16.42578125" customWidth="1"/>
    <col min="4599" max="4599" width="8.140625" customWidth="1"/>
    <col min="4600" max="4600" width="10.85546875" customWidth="1"/>
    <col min="4601" max="4601" width="38.85546875" customWidth="1"/>
    <col min="4602" max="4602" width="25.5703125" customWidth="1"/>
    <col min="4606" max="4606" width="44.85546875" customWidth="1"/>
    <col min="4607" max="4607" width="14.42578125" customWidth="1"/>
    <col min="4608" max="4608" width="13.7109375" customWidth="1"/>
    <col min="4609" max="4609" width="13.85546875" customWidth="1"/>
    <col min="4610" max="4610" width="13.5703125" customWidth="1"/>
    <col min="4611" max="4611" width="11.7109375" customWidth="1"/>
    <col min="4612" max="4612" width="14" customWidth="1"/>
    <col min="4613" max="4613" width="16.28515625" customWidth="1"/>
    <col min="4614" max="4614" width="12.5703125" customWidth="1"/>
    <col min="4615" max="4615" width="13.28515625" customWidth="1"/>
    <col min="4616" max="4616" width="14.85546875" customWidth="1"/>
    <col min="4617" max="4617" width="18" customWidth="1"/>
    <col min="4618" max="4618" width="24" customWidth="1"/>
    <col min="4851" max="4851" width="7.42578125" customWidth="1"/>
    <col min="4852" max="4852" width="22.7109375" customWidth="1"/>
    <col min="4853" max="4853" width="14.42578125" customWidth="1"/>
    <col min="4854" max="4854" width="16.42578125" customWidth="1"/>
    <col min="4855" max="4855" width="8.140625" customWidth="1"/>
    <col min="4856" max="4856" width="10.85546875" customWidth="1"/>
    <col min="4857" max="4857" width="38.85546875" customWidth="1"/>
    <col min="4858" max="4858" width="25.5703125" customWidth="1"/>
    <col min="4862" max="4862" width="44.85546875" customWidth="1"/>
    <col min="4863" max="4863" width="14.42578125" customWidth="1"/>
    <col min="4864" max="4864" width="13.7109375" customWidth="1"/>
    <col min="4865" max="4865" width="13.85546875" customWidth="1"/>
    <col min="4866" max="4866" width="13.5703125" customWidth="1"/>
    <col min="4867" max="4867" width="11.7109375" customWidth="1"/>
    <col min="4868" max="4868" width="14" customWidth="1"/>
    <col min="4869" max="4869" width="16.28515625" customWidth="1"/>
    <col min="4870" max="4870" width="12.5703125" customWidth="1"/>
    <col min="4871" max="4871" width="13.28515625" customWidth="1"/>
    <col min="4872" max="4872" width="14.85546875" customWidth="1"/>
    <col min="4873" max="4873" width="18" customWidth="1"/>
    <col min="4874" max="4874" width="24" customWidth="1"/>
    <col min="5107" max="5107" width="7.42578125" customWidth="1"/>
    <col min="5108" max="5108" width="22.7109375" customWidth="1"/>
    <col min="5109" max="5109" width="14.42578125" customWidth="1"/>
    <col min="5110" max="5110" width="16.42578125" customWidth="1"/>
    <col min="5111" max="5111" width="8.140625" customWidth="1"/>
    <col min="5112" max="5112" width="10.85546875" customWidth="1"/>
    <col min="5113" max="5113" width="38.85546875" customWidth="1"/>
    <col min="5114" max="5114" width="25.5703125" customWidth="1"/>
    <col min="5118" max="5118" width="44.85546875" customWidth="1"/>
    <col min="5119" max="5119" width="14.42578125" customWidth="1"/>
    <col min="5120" max="5120" width="13.7109375" customWidth="1"/>
    <col min="5121" max="5121" width="13.85546875" customWidth="1"/>
    <col min="5122" max="5122" width="13.5703125" customWidth="1"/>
    <col min="5123" max="5123" width="11.7109375" customWidth="1"/>
    <col min="5124" max="5124" width="14" customWidth="1"/>
    <col min="5125" max="5125" width="16.28515625" customWidth="1"/>
    <col min="5126" max="5126" width="12.5703125" customWidth="1"/>
    <col min="5127" max="5127" width="13.28515625" customWidth="1"/>
    <col min="5128" max="5128" width="14.85546875" customWidth="1"/>
    <col min="5129" max="5129" width="18" customWidth="1"/>
    <col min="5130" max="5130" width="24" customWidth="1"/>
    <col min="5363" max="5363" width="7.42578125" customWidth="1"/>
    <col min="5364" max="5364" width="22.7109375" customWidth="1"/>
    <col min="5365" max="5365" width="14.42578125" customWidth="1"/>
    <col min="5366" max="5366" width="16.42578125" customWidth="1"/>
    <col min="5367" max="5367" width="8.140625" customWidth="1"/>
    <col min="5368" max="5368" width="10.85546875" customWidth="1"/>
    <col min="5369" max="5369" width="38.85546875" customWidth="1"/>
    <col min="5370" max="5370" width="25.5703125" customWidth="1"/>
    <col min="5374" max="5374" width="44.85546875" customWidth="1"/>
    <col min="5375" max="5375" width="14.42578125" customWidth="1"/>
    <col min="5376" max="5376" width="13.7109375" customWidth="1"/>
    <col min="5377" max="5377" width="13.85546875" customWidth="1"/>
    <col min="5378" max="5378" width="13.5703125" customWidth="1"/>
    <col min="5379" max="5379" width="11.7109375" customWidth="1"/>
    <col min="5380" max="5380" width="14" customWidth="1"/>
    <col min="5381" max="5381" width="16.28515625" customWidth="1"/>
    <col min="5382" max="5382" width="12.5703125" customWidth="1"/>
    <col min="5383" max="5383" width="13.28515625" customWidth="1"/>
    <col min="5384" max="5384" width="14.85546875" customWidth="1"/>
    <col min="5385" max="5385" width="18" customWidth="1"/>
    <col min="5386" max="5386" width="24" customWidth="1"/>
    <col min="5619" max="5619" width="7.42578125" customWidth="1"/>
    <col min="5620" max="5620" width="22.7109375" customWidth="1"/>
    <col min="5621" max="5621" width="14.42578125" customWidth="1"/>
    <col min="5622" max="5622" width="16.42578125" customWidth="1"/>
    <col min="5623" max="5623" width="8.140625" customWidth="1"/>
    <col min="5624" max="5624" width="10.85546875" customWidth="1"/>
    <col min="5625" max="5625" width="38.85546875" customWidth="1"/>
    <col min="5626" max="5626" width="25.5703125" customWidth="1"/>
    <col min="5630" max="5630" width="44.85546875" customWidth="1"/>
    <col min="5631" max="5631" width="14.42578125" customWidth="1"/>
    <col min="5632" max="5632" width="13.7109375" customWidth="1"/>
    <col min="5633" max="5633" width="13.85546875" customWidth="1"/>
    <col min="5634" max="5634" width="13.5703125" customWidth="1"/>
    <col min="5635" max="5635" width="11.7109375" customWidth="1"/>
    <col min="5636" max="5636" width="14" customWidth="1"/>
    <col min="5637" max="5637" width="16.28515625" customWidth="1"/>
    <col min="5638" max="5638" width="12.5703125" customWidth="1"/>
    <col min="5639" max="5639" width="13.28515625" customWidth="1"/>
    <col min="5640" max="5640" width="14.85546875" customWidth="1"/>
    <col min="5641" max="5641" width="18" customWidth="1"/>
    <col min="5642" max="5642" width="24" customWidth="1"/>
    <col min="5875" max="5875" width="7.42578125" customWidth="1"/>
    <col min="5876" max="5876" width="22.7109375" customWidth="1"/>
    <col min="5877" max="5877" width="14.42578125" customWidth="1"/>
    <col min="5878" max="5878" width="16.42578125" customWidth="1"/>
    <col min="5879" max="5879" width="8.140625" customWidth="1"/>
    <col min="5880" max="5880" width="10.85546875" customWidth="1"/>
    <col min="5881" max="5881" width="38.85546875" customWidth="1"/>
    <col min="5882" max="5882" width="25.5703125" customWidth="1"/>
    <col min="5886" max="5886" width="44.85546875" customWidth="1"/>
    <col min="5887" max="5887" width="14.42578125" customWidth="1"/>
    <col min="5888" max="5888" width="13.7109375" customWidth="1"/>
    <col min="5889" max="5889" width="13.85546875" customWidth="1"/>
    <col min="5890" max="5890" width="13.5703125" customWidth="1"/>
    <col min="5891" max="5891" width="11.7109375" customWidth="1"/>
    <col min="5892" max="5892" width="14" customWidth="1"/>
    <col min="5893" max="5893" width="16.28515625" customWidth="1"/>
    <col min="5894" max="5894" width="12.5703125" customWidth="1"/>
    <col min="5895" max="5895" width="13.28515625" customWidth="1"/>
    <col min="5896" max="5896" width="14.85546875" customWidth="1"/>
    <col min="5897" max="5897" width="18" customWidth="1"/>
    <col min="5898" max="5898" width="24" customWidth="1"/>
    <col min="6131" max="6131" width="7.42578125" customWidth="1"/>
    <col min="6132" max="6132" width="22.7109375" customWidth="1"/>
    <col min="6133" max="6133" width="14.42578125" customWidth="1"/>
    <col min="6134" max="6134" width="16.42578125" customWidth="1"/>
    <col min="6135" max="6135" width="8.140625" customWidth="1"/>
    <col min="6136" max="6136" width="10.85546875" customWidth="1"/>
    <col min="6137" max="6137" width="38.85546875" customWidth="1"/>
    <col min="6138" max="6138" width="25.5703125" customWidth="1"/>
    <col min="6142" max="6142" width="44.85546875" customWidth="1"/>
    <col min="6143" max="6143" width="14.42578125" customWidth="1"/>
    <col min="6144" max="6144" width="13.7109375" customWidth="1"/>
    <col min="6145" max="6145" width="13.85546875" customWidth="1"/>
    <col min="6146" max="6146" width="13.5703125" customWidth="1"/>
    <col min="6147" max="6147" width="11.7109375" customWidth="1"/>
    <col min="6148" max="6148" width="14" customWidth="1"/>
    <col min="6149" max="6149" width="16.28515625" customWidth="1"/>
    <col min="6150" max="6150" width="12.5703125" customWidth="1"/>
    <col min="6151" max="6151" width="13.28515625" customWidth="1"/>
    <col min="6152" max="6152" width="14.85546875" customWidth="1"/>
    <col min="6153" max="6153" width="18" customWidth="1"/>
    <col min="6154" max="6154" width="24" customWidth="1"/>
    <col min="6387" max="6387" width="7.42578125" customWidth="1"/>
    <col min="6388" max="6388" width="22.7109375" customWidth="1"/>
    <col min="6389" max="6389" width="14.42578125" customWidth="1"/>
    <col min="6390" max="6390" width="16.42578125" customWidth="1"/>
    <col min="6391" max="6391" width="8.140625" customWidth="1"/>
    <col min="6392" max="6392" width="10.85546875" customWidth="1"/>
    <col min="6393" max="6393" width="38.85546875" customWidth="1"/>
    <col min="6394" max="6394" width="25.5703125" customWidth="1"/>
    <col min="6398" max="6398" width="44.85546875" customWidth="1"/>
    <col min="6399" max="6399" width="14.42578125" customWidth="1"/>
    <col min="6400" max="6400" width="13.7109375" customWidth="1"/>
    <col min="6401" max="6401" width="13.85546875" customWidth="1"/>
    <col min="6402" max="6402" width="13.5703125" customWidth="1"/>
    <col min="6403" max="6403" width="11.7109375" customWidth="1"/>
    <col min="6404" max="6404" width="14" customWidth="1"/>
    <col min="6405" max="6405" width="16.28515625" customWidth="1"/>
    <col min="6406" max="6406" width="12.5703125" customWidth="1"/>
    <col min="6407" max="6407" width="13.28515625" customWidth="1"/>
    <col min="6408" max="6408" width="14.85546875" customWidth="1"/>
    <col min="6409" max="6409" width="18" customWidth="1"/>
    <col min="6410" max="6410" width="24" customWidth="1"/>
    <col min="6643" max="6643" width="7.42578125" customWidth="1"/>
    <col min="6644" max="6644" width="22.7109375" customWidth="1"/>
    <col min="6645" max="6645" width="14.42578125" customWidth="1"/>
    <col min="6646" max="6646" width="16.42578125" customWidth="1"/>
    <col min="6647" max="6647" width="8.140625" customWidth="1"/>
    <col min="6648" max="6648" width="10.85546875" customWidth="1"/>
    <col min="6649" max="6649" width="38.85546875" customWidth="1"/>
    <col min="6650" max="6650" width="25.5703125" customWidth="1"/>
    <col min="6654" max="6654" width="44.85546875" customWidth="1"/>
    <col min="6655" max="6655" width="14.42578125" customWidth="1"/>
    <col min="6656" max="6656" width="13.7109375" customWidth="1"/>
    <col min="6657" max="6657" width="13.85546875" customWidth="1"/>
    <col min="6658" max="6658" width="13.5703125" customWidth="1"/>
    <col min="6659" max="6659" width="11.7109375" customWidth="1"/>
    <col min="6660" max="6660" width="14" customWidth="1"/>
    <col min="6661" max="6661" width="16.28515625" customWidth="1"/>
    <col min="6662" max="6662" width="12.5703125" customWidth="1"/>
    <col min="6663" max="6663" width="13.28515625" customWidth="1"/>
    <col min="6664" max="6664" width="14.85546875" customWidth="1"/>
    <col min="6665" max="6665" width="18" customWidth="1"/>
    <col min="6666" max="6666" width="24" customWidth="1"/>
    <col min="6899" max="6899" width="7.42578125" customWidth="1"/>
    <col min="6900" max="6900" width="22.7109375" customWidth="1"/>
    <col min="6901" max="6901" width="14.42578125" customWidth="1"/>
    <col min="6902" max="6902" width="16.42578125" customWidth="1"/>
    <col min="6903" max="6903" width="8.140625" customWidth="1"/>
    <col min="6904" max="6904" width="10.85546875" customWidth="1"/>
    <col min="6905" max="6905" width="38.85546875" customWidth="1"/>
    <col min="6906" max="6906" width="25.5703125" customWidth="1"/>
    <col min="6910" max="6910" width="44.85546875" customWidth="1"/>
    <col min="6911" max="6911" width="14.42578125" customWidth="1"/>
    <col min="6912" max="6912" width="13.7109375" customWidth="1"/>
    <col min="6913" max="6913" width="13.85546875" customWidth="1"/>
    <col min="6914" max="6914" width="13.5703125" customWidth="1"/>
    <col min="6915" max="6915" width="11.7109375" customWidth="1"/>
    <col min="6916" max="6916" width="14" customWidth="1"/>
    <col min="6917" max="6917" width="16.28515625" customWidth="1"/>
    <col min="6918" max="6918" width="12.5703125" customWidth="1"/>
    <col min="6919" max="6919" width="13.28515625" customWidth="1"/>
    <col min="6920" max="6920" width="14.85546875" customWidth="1"/>
    <col min="6921" max="6921" width="18" customWidth="1"/>
    <col min="6922" max="6922" width="24" customWidth="1"/>
    <col min="7155" max="7155" width="7.42578125" customWidth="1"/>
    <col min="7156" max="7156" width="22.7109375" customWidth="1"/>
    <col min="7157" max="7157" width="14.42578125" customWidth="1"/>
    <col min="7158" max="7158" width="16.42578125" customWidth="1"/>
    <col min="7159" max="7159" width="8.140625" customWidth="1"/>
    <col min="7160" max="7160" width="10.85546875" customWidth="1"/>
    <col min="7161" max="7161" width="38.85546875" customWidth="1"/>
    <col min="7162" max="7162" width="25.5703125" customWidth="1"/>
    <col min="7166" max="7166" width="44.85546875" customWidth="1"/>
    <col min="7167" max="7167" width="14.42578125" customWidth="1"/>
    <col min="7168" max="7168" width="13.7109375" customWidth="1"/>
    <col min="7169" max="7169" width="13.85546875" customWidth="1"/>
    <col min="7170" max="7170" width="13.5703125" customWidth="1"/>
    <col min="7171" max="7171" width="11.7109375" customWidth="1"/>
    <col min="7172" max="7172" width="14" customWidth="1"/>
    <col min="7173" max="7173" width="16.28515625" customWidth="1"/>
    <col min="7174" max="7174" width="12.5703125" customWidth="1"/>
    <col min="7175" max="7175" width="13.28515625" customWidth="1"/>
    <col min="7176" max="7176" width="14.85546875" customWidth="1"/>
    <col min="7177" max="7177" width="18" customWidth="1"/>
    <col min="7178" max="7178" width="24" customWidth="1"/>
    <col min="7411" max="7411" width="7.42578125" customWidth="1"/>
    <col min="7412" max="7412" width="22.7109375" customWidth="1"/>
    <col min="7413" max="7413" width="14.42578125" customWidth="1"/>
    <col min="7414" max="7414" width="16.42578125" customWidth="1"/>
    <col min="7415" max="7415" width="8.140625" customWidth="1"/>
    <col min="7416" max="7416" width="10.85546875" customWidth="1"/>
    <col min="7417" max="7417" width="38.85546875" customWidth="1"/>
    <col min="7418" max="7418" width="25.5703125" customWidth="1"/>
    <col min="7422" max="7422" width="44.85546875" customWidth="1"/>
    <col min="7423" max="7423" width="14.42578125" customWidth="1"/>
    <col min="7424" max="7424" width="13.7109375" customWidth="1"/>
    <col min="7425" max="7425" width="13.85546875" customWidth="1"/>
    <col min="7426" max="7426" width="13.5703125" customWidth="1"/>
    <col min="7427" max="7427" width="11.7109375" customWidth="1"/>
    <col min="7428" max="7428" width="14" customWidth="1"/>
    <col min="7429" max="7429" width="16.28515625" customWidth="1"/>
    <col min="7430" max="7430" width="12.5703125" customWidth="1"/>
    <col min="7431" max="7431" width="13.28515625" customWidth="1"/>
    <col min="7432" max="7432" width="14.85546875" customWidth="1"/>
    <col min="7433" max="7433" width="18" customWidth="1"/>
    <col min="7434" max="7434" width="24" customWidth="1"/>
    <col min="7667" max="7667" width="7.42578125" customWidth="1"/>
    <col min="7668" max="7668" width="22.7109375" customWidth="1"/>
    <col min="7669" max="7669" width="14.42578125" customWidth="1"/>
    <col min="7670" max="7670" width="16.42578125" customWidth="1"/>
    <col min="7671" max="7671" width="8.140625" customWidth="1"/>
    <col min="7672" max="7672" width="10.85546875" customWidth="1"/>
    <col min="7673" max="7673" width="38.85546875" customWidth="1"/>
    <col min="7674" max="7674" width="25.5703125" customWidth="1"/>
    <col min="7678" max="7678" width="44.85546875" customWidth="1"/>
    <col min="7679" max="7679" width="14.42578125" customWidth="1"/>
    <col min="7680" max="7680" width="13.7109375" customWidth="1"/>
    <col min="7681" max="7681" width="13.85546875" customWidth="1"/>
    <col min="7682" max="7682" width="13.5703125" customWidth="1"/>
    <col min="7683" max="7683" width="11.7109375" customWidth="1"/>
    <col min="7684" max="7684" width="14" customWidth="1"/>
    <col min="7685" max="7685" width="16.28515625" customWidth="1"/>
    <col min="7686" max="7686" width="12.5703125" customWidth="1"/>
    <col min="7687" max="7687" width="13.28515625" customWidth="1"/>
    <col min="7688" max="7688" width="14.85546875" customWidth="1"/>
    <col min="7689" max="7689" width="18" customWidth="1"/>
    <col min="7690" max="7690" width="24" customWidth="1"/>
    <col min="7923" max="7923" width="7.42578125" customWidth="1"/>
    <col min="7924" max="7924" width="22.7109375" customWidth="1"/>
    <col min="7925" max="7925" width="14.42578125" customWidth="1"/>
    <col min="7926" max="7926" width="16.42578125" customWidth="1"/>
    <col min="7927" max="7927" width="8.140625" customWidth="1"/>
    <col min="7928" max="7928" width="10.85546875" customWidth="1"/>
    <col min="7929" max="7929" width="38.85546875" customWidth="1"/>
    <col min="7930" max="7930" width="25.5703125" customWidth="1"/>
    <col min="7934" max="7934" width="44.85546875" customWidth="1"/>
    <col min="7935" max="7935" width="14.42578125" customWidth="1"/>
    <col min="7936" max="7936" width="13.7109375" customWidth="1"/>
    <col min="7937" max="7937" width="13.85546875" customWidth="1"/>
    <col min="7938" max="7938" width="13.5703125" customWidth="1"/>
    <col min="7939" max="7939" width="11.7109375" customWidth="1"/>
    <col min="7940" max="7940" width="14" customWidth="1"/>
    <col min="7941" max="7941" width="16.28515625" customWidth="1"/>
    <col min="7942" max="7942" width="12.5703125" customWidth="1"/>
    <col min="7943" max="7943" width="13.28515625" customWidth="1"/>
    <col min="7944" max="7944" width="14.85546875" customWidth="1"/>
    <col min="7945" max="7945" width="18" customWidth="1"/>
    <col min="7946" max="7946" width="24" customWidth="1"/>
    <col min="8179" max="8179" width="7.42578125" customWidth="1"/>
    <col min="8180" max="8180" width="22.7109375" customWidth="1"/>
    <col min="8181" max="8181" width="14.42578125" customWidth="1"/>
    <col min="8182" max="8182" width="16.42578125" customWidth="1"/>
    <col min="8183" max="8183" width="8.140625" customWidth="1"/>
    <col min="8184" max="8184" width="10.85546875" customWidth="1"/>
    <col min="8185" max="8185" width="38.85546875" customWidth="1"/>
    <col min="8186" max="8186" width="25.5703125" customWidth="1"/>
    <col min="8190" max="8190" width="44.85546875" customWidth="1"/>
    <col min="8191" max="8191" width="14.42578125" customWidth="1"/>
    <col min="8192" max="8192" width="13.7109375" customWidth="1"/>
    <col min="8193" max="8193" width="13.85546875" customWidth="1"/>
    <col min="8194" max="8194" width="13.5703125" customWidth="1"/>
    <col min="8195" max="8195" width="11.7109375" customWidth="1"/>
    <col min="8196" max="8196" width="14" customWidth="1"/>
    <col min="8197" max="8197" width="16.28515625" customWidth="1"/>
    <col min="8198" max="8198" width="12.5703125" customWidth="1"/>
    <col min="8199" max="8199" width="13.28515625" customWidth="1"/>
    <col min="8200" max="8200" width="14.85546875" customWidth="1"/>
    <col min="8201" max="8201" width="18" customWidth="1"/>
    <col min="8202" max="8202" width="24" customWidth="1"/>
    <col min="8435" max="8435" width="7.42578125" customWidth="1"/>
    <col min="8436" max="8436" width="22.7109375" customWidth="1"/>
    <col min="8437" max="8437" width="14.42578125" customWidth="1"/>
    <col min="8438" max="8438" width="16.42578125" customWidth="1"/>
    <col min="8439" max="8439" width="8.140625" customWidth="1"/>
    <col min="8440" max="8440" width="10.85546875" customWidth="1"/>
    <col min="8441" max="8441" width="38.85546875" customWidth="1"/>
    <col min="8442" max="8442" width="25.5703125" customWidth="1"/>
    <col min="8446" max="8446" width="44.85546875" customWidth="1"/>
    <col min="8447" max="8447" width="14.42578125" customWidth="1"/>
    <col min="8448" max="8448" width="13.7109375" customWidth="1"/>
    <col min="8449" max="8449" width="13.85546875" customWidth="1"/>
    <col min="8450" max="8450" width="13.5703125" customWidth="1"/>
    <col min="8451" max="8451" width="11.7109375" customWidth="1"/>
    <col min="8452" max="8452" width="14" customWidth="1"/>
    <col min="8453" max="8453" width="16.28515625" customWidth="1"/>
    <col min="8454" max="8454" width="12.5703125" customWidth="1"/>
    <col min="8455" max="8455" width="13.28515625" customWidth="1"/>
    <col min="8456" max="8456" width="14.85546875" customWidth="1"/>
    <col min="8457" max="8457" width="18" customWidth="1"/>
    <col min="8458" max="8458" width="24" customWidth="1"/>
    <col min="8691" max="8691" width="7.42578125" customWidth="1"/>
    <col min="8692" max="8692" width="22.7109375" customWidth="1"/>
    <col min="8693" max="8693" width="14.42578125" customWidth="1"/>
    <col min="8694" max="8694" width="16.42578125" customWidth="1"/>
    <col min="8695" max="8695" width="8.140625" customWidth="1"/>
    <col min="8696" max="8696" width="10.85546875" customWidth="1"/>
    <col min="8697" max="8697" width="38.85546875" customWidth="1"/>
    <col min="8698" max="8698" width="25.5703125" customWidth="1"/>
    <col min="8702" max="8702" width="44.85546875" customWidth="1"/>
    <col min="8703" max="8703" width="14.42578125" customWidth="1"/>
    <col min="8704" max="8704" width="13.7109375" customWidth="1"/>
    <col min="8705" max="8705" width="13.85546875" customWidth="1"/>
    <col min="8706" max="8706" width="13.5703125" customWidth="1"/>
    <col min="8707" max="8707" width="11.7109375" customWidth="1"/>
    <col min="8708" max="8708" width="14" customWidth="1"/>
    <col min="8709" max="8709" width="16.28515625" customWidth="1"/>
    <col min="8710" max="8710" width="12.5703125" customWidth="1"/>
    <col min="8711" max="8711" width="13.28515625" customWidth="1"/>
    <col min="8712" max="8712" width="14.85546875" customWidth="1"/>
    <col min="8713" max="8713" width="18" customWidth="1"/>
    <col min="8714" max="8714" width="24" customWidth="1"/>
    <col min="8947" max="8947" width="7.42578125" customWidth="1"/>
    <col min="8948" max="8948" width="22.7109375" customWidth="1"/>
    <col min="8949" max="8949" width="14.42578125" customWidth="1"/>
    <col min="8950" max="8950" width="16.42578125" customWidth="1"/>
    <col min="8951" max="8951" width="8.140625" customWidth="1"/>
    <col min="8952" max="8952" width="10.85546875" customWidth="1"/>
    <col min="8953" max="8953" width="38.85546875" customWidth="1"/>
    <col min="8954" max="8954" width="25.5703125" customWidth="1"/>
    <col min="8958" max="8958" width="44.85546875" customWidth="1"/>
    <col min="8959" max="8959" width="14.42578125" customWidth="1"/>
    <col min="8960" max="8960" width="13.7109375" customWidth="1"/>
    <col min="8961" max="8961" width="13.85546875" customWidth="1"/>
    <col min="8962" max="8962" width="13.5703125" customWidth="1"/>
    <col min="8963" max="8963" width="11.7109375" customWidth="1"/>
    <col min="8964" max="8964" width="14" customWidth="1"/>
    <col min="8965" max="8965" width="16.28515625" customWidth="1"/>
    <col min="8966" max="8966" width="12.5703125" customWidth="1"/>
    <col min="8967" max="8967" width="13.28515625" customWidth="1"/>
    <col min="8968" max="8968" width="14.85546875" customWidth="1"/>
    <col min="8969" max="8969" width="18" customWidth="1"/>
    <col min="8970" max="8970" width="24" customWidth="1"/>
    <col min="9203" max="9203" width="7.42578125" customWidth="1"/>
    <col min="9204" max="9204" width="22.7109375" customWidth="1"/>
    <col min="9205" max="9205" width="14.42578125" customWidth="1"/>
    <col min="9206" max="9206" width="16.42578125" customWidth="1"/>
    <col min="9207" max="9207" width="8.140625" customWidth="1"/>
    <col min="9208" max="9208" width="10.85546875" customWidth="1"/>
    <col min="9209" max="9209" width="38.85546875" customWidth="1"/>
    <col min="9210" max="9210" width="25.5703125" customWidth="1"/>
    <col min="9214" max="9214" width="44.85546875" customWidth="1"/>
    <col min="9215" max="9215" width="14.42578125" customWidth="1"/>
    <col min="9216" max="9216" width="13.7109375" customWidth="1"/>
    <col min="9217" max="9217" width="13.85546875" customWidth="1"/>
    <col min="9218" max="9218" width="13.5703125" customWidth="1"/>
    <col min="9219" max="9219" width="11.7109375" customWidth="1"/>
    <col min="9220" max="9220" width="14" customWidth="1"/>
    <col min="9221" max="9221" width="16.28515625" customWidth="1"/>
    <col min="9222" max="9222" width="12.5703125" customWidth="1"/>
    <col min="9223" max="9223" width="13.28515625" customWidth="1"/>
    <col min="9224" max="9224" width="14.85546875" customWidth="1"/>
    <col min="9225" max="9225" width="18" customWidth="1"/>
    <col min="9226" max="9226" width="24" customWidth="1"/>
    <col min="9459" max="9459" width="7.42578125" customWidth="1"/>
    <col min="9460" max="9460" width="22.7109375" customWidth="1"/>
    <col min="9461" max="9461" width="14.42578125" customWidth="1"/>
    <col min="9462" max="9462" width="16.42578125" customWidth="1"/>
    <col min="9463" max="9463" width="8.140625" customWidth="1"/>
    <col min="9464" max="9464" width="10.85546875" customWidth="1"/>
    <col min="9465" max="9465" width="38.85546875" customWidth="1"/>
    <col min="9466" max="9466" width="25.5703125" customWidth="1"/>
    <col min="9470" max="9470" width="44.85546875" customWidth="1"/>
    <col min="9471" max="9471" width="14.42578125" customWidth="1"/>
    <col min="9472" max="9472" width="13.7109375" customWidth="1"/>
    <col min="9473" max="9473" width="13.85546875" customWidth="1"/>
    <col min="9474" max="9474" width="13.5703125" customWidth="1"/>
    <col min="9475" max="9475" width="11.7109375" customWidth="1"/>
    <col min="9476" max="9476" width="14" customWidth="1"/>
    <col min="9477" max="9477" width="16.28515625" customWidth="1"/>
    <col min="9478" max="9478" width="12.5703125" customWidth="1"/>
    <col min="9479" max="9479" width="13.28515625" customWidth="1"/>
    <col min="9480" max="9480" width="14.85546875" customWidth="1"/>
    <col min="9481" max="9481" width="18" customWidth="1"/>
    <col min="9482" max="9482" width="24" customWidth="1"/>
    <col min="9715" max="9715" width="7.42578125" customWidth="1"/>
    <col min="9716" max="9716" width="22.7109375" customWidth="1"/>
    <col min="9717" max="9717" width="14.42578125" customWidth="1"/>
    <col min="9718" max="9718" width="16.42578125" customWidth="1"/>
    <col min="9719" max="9719" width="8.140625" customWidth="1"/>
    <col min="9720" max="9720" width="10.85546875" customWidth="1"/>
    <col min="9721" max="9721" width="38.85546875" customWidth="1"/>
    <col min="9722" max="9722" width="25.5703125" customWidth="1"/>
    <col min="9726" max="9726" width="44.85546875" customWidth="1"/>
    <col min="9727" max="9727" width="14.42578125" customWidth="1"/>
    <col min="9728" max="9728" width="13.7109375" customWidth="1"/>
    <col min="9729" max="9729" width="13.85546875" customWidth="1"/>
    <col min="9730" max="9730" width="13.5703125" customWidth="1"/>
    <col min="9731" max="9731" width="11.7109375" customWidth="1"/>
    <col min="9732" max="9732" width="14" customWidth="1"/>
    <col min="9733" max="9733" width="16.28515625" customWidth="1"/>
    <col min="9734" max="9734" width="12.5703125" customWidth="1"/>
    <col min="9735" max="9735" width="13.28515625" customWidth="1"/>
    <col min="9736" max="9736" width="14.85546875" customWidth="1"/>
    <col min="9737" max="9737" width="18" customWidth="1"/>
    <col min="9738" max="9738" width="24" customWidth="1"/>
    <col min="9971" max="9971" width="7.42578125" customWidth="1"/>
    <col min="9972" max="9972" width="22.7109375" customWidth="1"/>
    <col min="9973" max="9973" width="14.42578125" customWidth="1"/>
    <col min="9974" max="9974" width="16.42578125" customWidth="1"/>
    <col min="9975" max="9975" width="8.140625" customWidth="1"/>
    <col min="9976" max="9976" width="10.85546875" customWidth="1"/>
    <col min="9977" max="9977" width="38.85546875" customWidth="1"/>
    <col min="9978" max="9978" width="25.5703125" customWidth="1"/>
    <col min="9982" max="9982" width="44.85546875" customWidth="1"/>
    <col min="9983" max="9983" width="14.42578125" customWidth="1"/>
    <col min="9984" max="9984" width="13.7109375" customWidth="1"/>
    <col min="9985" max="9985" width="13.85546875" customWidth="1"/>
    <col min="9986" max="9986" width="13.5703125" customWidth="1"/>
    <col min="9987" max="9987" width="11.7109375" customWidth="1"/>
    <col min="9988" max="9988" width="14" customWidth="1"/>
    <col min="9989" max="9989" width="16.28515625" customWidth="1"/>
    <col min="9990" max="9990" width="12.5703125" customWidth="1"/>
    <col min="9991" max="9991" width="13.28515625" customWidth="1"/>
    <col min="9992" max="9992" width="14.85546875" customWidth="1"/>
    <col min="9993" max="9993" width="18" customWidth="1"/>
    <col min="9994" max="9994" width="24" customWidth="1"/>
    <col min="10227" max="10227" width="7.42578125" customWidth="1"/>
    <col min="10228" max="10228" width="22.7109375" customWidth="1"/>
    <col min="10229" max="10229" width="14.42578125" customWidth="1"/>
    <col min="10230" max="10230" width="16.42578125" customWidth="1"/>
    <col min="10231" max="10231" width="8.140625" customWidth="1"/>
    <col min="10232" max="10232" width="10.85546875" customWidth="1"/>
    <col min="10233" max="10233" width="38.85546875" customWidth="1"/>
    <col min="10234" max="10234" width="25.5703125" customWidth="1"/>
    <col min="10238" max="10238" width="44.85546875" customWidth="1"/>
    <col min="10239" max="10239" width="14.42578125" customWidth="1"/>
    <col min="10240" max="10240" width="13.7109375" customWidth="1"/>
    <col min="10241" max="10241" width="13.85546875" customWidth="1"/>
    <col min="10242" max="10242" width="13.5703125" customWidth="1"/>
    <col min="10243" max="10243" width="11.7109375" customWidth="1"/>
    <col min="10244" max="10244" width="14" customWidth="1"/>
    <col min="10245" max="10245" width="16.28515625" customWidth="1"/>
    <col min="10246" max="10246" width="12.5703125" customWidth="1"/>
    <col min="10247" max="10247" width="13.28515625" customWidth="1"/>
    <col min="10248" max="10248" width="14.85546875" customWidth="1"/>
    <col min="10249" max="10249" width="18" customWidth="1"/>
    <col min="10250" max="10250" width="24" customWidth="1"/>
    <col min="10483" max="10483" width="7.42578125" customWidth="1"/>
    <col min="10484" max="10484" width="22.7109375" customWidth="1"/>
    <col min="10485" max="10485" width="14.42578125" customWidth="1"/>
    <col min="10486" max="10486" width="16.42578125" customWidth="1"/>
    <col min="10487" max="10487" width="8.140625" customWidth="1"/>
    <col min="10488" max="10488" width="10.85546875" customWidth="1"/>
    <col min="10489" max="10489" width="38.85546875" customWidth="1"/>
    <col min="10490" max="10490" width="25.5703125" customWidth="1"/>
    <col min="10494" max="10494" width="44.85546875" customWidth="1"/>
    <col min="10495" max="10495" width="14.42578125" customWidth="1"/>
    <col min="10496" max="10496" width="13.7109375" customWidth="1"/>
    <col min="10497" max="10497" width="13.85546875" customWidth="1"/>
    <col min="10498" max="10498" width="13.5703125" customWidth="1"/>
    <col min="10499" max="10499" width="11.7109375" customWidth="1"/>
    <col min="10500" max="10500" width="14" customWidth="1"/>
    <col min="10501" max="10501" width="16.28515625" customWidth="1"/>
    <col min="10502" max="10502" width="12.5703125" customWidth="1"/>
    <col min="10503" max="10503" width="13.28515625" customWidth="1"/>
    <col min="10504" max="10504" width="14.85546875" customWidth="1"/>
    <col min="10505" max="10505" width="18" customWidth="1"/>
    <col min="10506" max="10506" width="24" customWidth="1"/>
    <col min="10739" max="10739" width="7.42578125" customWidth="1"/>
    <col min="10740" max="10740" width="22.7109375" customWidth="1"/>
    <col min="10741" max="10741" width="14.42578125" customWidth="1"/>
    <col min="10742" max="10742" width="16.42578125" customWidth="1"/>
    <col min="10743" max="10743" width="8.140625" customWidth="1"/>
    <col min="10744" max="10744" width="10.85546875" customWidth="1"/>
    <col min="10745" max="10745" width="38.85546875" customWidth="1"/>
    <col min="10746" max="10746" width="25.5703125" customWidth="1"/>
    <col min="10750" max="10750" width="44.85546875" customWidth="1"/>
    <col min="10751" max="10751" width="14.42578125" customWidth="1"/>
    <col min="10752" max="10752" width="13.7109375" customWidth="1"/>
    <col min="10753" max="10753" width="13.85546875" customWidth="1"/>
    <col min="10754" max="10754" width="13.5703125" customWidth="1"/>
    <col min="10755" max="10755" width="11.7109375" customWidth="1"/>
    <col min="10756" max="10756" width="14" customWidth="1"/>
    <col min="10757" max="10757" width="16.28515625" customWidth="1"/>
    <col min="10758" max="10758" width="12.5703125" customWidth="1"/>
    <col min="10759" max="10759" width="13.28515625" customWidth="1"/>
    <col min="10760" max="10760" width="14.85546875" customWidth="1"/>
    <col min="10761" max="10761" width="18" customWidth="1"/>
    <col min="10762" max="10762" width="24" customWidth="1"/>
    <col min="10995" max="10995" width="7.42578125" customWidth="1"/>
    <col min="10996" max="10996" width="22.7109375" customWidth="1"/>
    <col min="10997" max="10997" width="14.42578125" customWidth="1"/>
    <col min="10998" max="10998" width="16.42578125" customWidth="1"/>
    <col min="10999" max="10999" width="8.140625" customWidth="1"/>
    <col min="11000" max="11000" width="10.85546875" customWidth="1"/>
    <col min="11001" max="11001" width="38.85546875" customWidth="1"/>
    <col min="11002" max="11002" width="25.5703125" customWidth="1"/>
    <col min="11006" max="11006" width="44.85546875" customWidth="1"/>
    <col min="11007" max="11007" width="14.42578125" customWidth="1"/>
    <col min="11008" max="11008" width="13.7109375" customWidth="1"/>
    <col min="11009" max="11009" width="13.85546875" customWidth="1"/>
    <col min="11010" max="11010" width="13.5703125" customWidth="1"/>
    <col min="11011" max="11011" width="11.7109375" customWidth="1"/>
    <col min="11012" max="11012" width="14" customWidth="1"/>
    <col min="11013" max="11013" width="16.28515625" customWidth="1"/>
    <col min="11014" max="11014" width="12.5703125" customWidth="1"/>
    <col min="11015" max="11015" width="13.28515625" customWidth="1"/>
    <col min="11016" max="11016" width="14.85546875" customWidth="1"/>
    <col min="11017" max="11017" width="18" customWidth="1"/>
    <col min="11018" max="11018" width="24" customWidth="1"/>
    <col min="11251" max="11251" width="7.42578125" customWidth="1"/>
    <col min="11252" max="11252" width="22.7109375" customWidth="1"/>
    <col min="11253" max="11253" width="14.42578125" customWidth="1"/>
    <col min="11254" max="11254" width="16.42578125" customWidth="1"/>
    <col min="11255" max="11255" width="8.140625" customWidth="1"/>
    <col min="11256" max="11256" width="10.85546875" customWidth="1"/>
    <col min="11257" max="11257" width="38.85546875" customWidth="1"/>
    <col min="11258" max="11258" width="25.5703125" customWidth="1"/>
    <col min="11262" max="11262" width="44.85546875" customWidth="1"/>
    <col min="11263" max="11263" width="14.42578125" customWidth="1"/>
    <col min="11264" max="11264" width="13.7109375" customWidth="1"/>
    <col min="11265" max="11265" width="13.85546875" customWidth="1"/>
    <col min="11266" max="11266" width="13.5703125" customWidth="1"/>
    <col min="11267" max="11267" width="11.7109375" customWidth="1"/>
    <col min="11268" max="11268" width="14" customWidth="1"/>
    <col min="11269" max="11269" width="16.28515625" customWidth="1"/>
    <col min="11270" max="11270" width="12.5703125" customWidth="1"/>
    <col min="11271" max="11271" width="13.28515625" customWidth="1"/>
    <col min="11272" max="11272" width="14.85546875" customWidth="1"/>
    <col min="11273" max="11273" width="18" customWidth="1"/>
    <col min="11274" max="11274" width="24" customWidth="1"/>
    <col min="11507" max="11507" width="7.42578125" customWidth="1"/>
    <col min="11508" max="11508" width="22.7109375" customWidth="1"/>
    <col min="11509" max="11509" width="14.42578125" customWidth="1"/>
    <col min="11510" max="11510" width="16.42578125" customWidth="1"/>
    <col min="11511" max="11511" width="8.140625" customWidth="1"/>
    <col min="11512" max="11512" width="10.85546875" customWidth="1"/>
    <col min="11513" max="11513" width="38.85546875" customWidth="1"/>
    <col min="11514" max="11514" width="25.5703125" customWidth="1"/>
    <col min="11518" max="11518" width="44.85546875" customWidth="1"/>
    <col min="11519" max="11519" width="14.42578125" customWidth="1"/>
    <col min="11520" max="11520" width="13.7109375" customWidth="1"/>
    <col min="11521" max="11521" width="13.85546875" customWidth="1"/>
    <col min="11522" max="11522" width="13.5703125" customWidth="1"/>
    <col min="11523" max="11523" width="11.7109375" customWidth="1"/>
    <col min="11524" max="11524" width="14" customWidth="1"/>
    <col min="11525" max="11525" width="16.28515625" customWidth="1"/>
    <col min="11526" max="11526" width="12.5703125" customWidth="1"/>
    <col min="11527" max="11527" width="13.28515625" customWidth="1"/>
    <col min="11528" max="11528" width="14.85546875" customWidth="1"/>
    <col min="11529" max="11529" width="18" customWidth="1"/>
    <col min="11530" max="11530" width="24" customWidth="1"/>
    <col min="11763" max="11763" width="7.42578125" customWidth="1"/>
    <col min="11764" max="11764" width="22.7109375" customWidth="1"/>
    <col min="11765" max="11765" width="14.42578125" customWidth="1"/>
    <col min="11766" max="11766" width="16.42578125" customWidth="1"/>
    <col min="11767" max="11767" width="8.140625" customWidth="1"/>
    <col min="11768" max="11768" width="10.85546875" customWidth="1"/>
    <col min="11769" max="11769" width="38.85546875" customWidth="1"/>
    <col min="11770" max="11770" width="25.5703125" customWidth="1"/>
    <col min="11774" max="11774" width="44.85546875" customWidth="1"/>
    <col min="11775" max="11775" width="14.42578125" customWidth="1"/>
    <col min="11776" max="11776" width="13.7109375" customWidth="1"/>
    <col min="11777" max="11777" width="13.85546875" customWidth="1"/>
    <col min="11778" max="11778" width="13.5703125" customWidth="1"/>
    <col min="11779" max="11779" width="11.7109375" customWidth="1"/>
    <col min="11780" max="11780" width="14" customWidth="1"/>
    <col min="11781" max="11781" width="16.28515625" customWidth="1"/>
    <col min="11782" max="11782" width="12.5703125" customWidth="1"/>
    <col min="11783" max="11783" width="13.28515625" customWidth="1"/>
    <col min="11784" max="11784" width="14.85546875" customWidth="1"/>
    <col min="11785" max="11785" width="18" customWidth="1"/>
    <col min="11786" max="11786" width="24" customWidth="1"/>
    <col min="12019" max="12019" width="7.42578125" customWidth="1"/>
    <col min="12020" max="12020" width="22.7109375" customWidth="1"/>
    <col min="12021" max="12021" width="14.42578125" customWidth="1"/>
    <col min="12022" max="12022" width="16.42578125" customWidth="1"/>
    <col min="12023" max="12023" width="8.140625" customWidth="1"/>
    <col min="12024" max="12024" width="10.85546875" customWidth="1"/>
    <col min="12025" max="12025" width="38.85546875" customWidth="1"/>
    <col min="12026" max="12026" width="25.5703125" customWidth="1"/>
    <col min="12030" max="12030" width="44.85546875" customWidth="1"/>
    <col min="12031" max="12031" width="14.42578125" customWidth="1"/>
    <col min="12032" max="12032" width="13.7109375" customWidth="1"/>
    <col min="12033" max="12033" width="13.85546875" customWidth="1"/>
    <col min="12034" max="12034" width="13.5703125" customWidth="1"/>
    <col min="12035" max="12035" width="11.7109375" customWidth="1"/>
    <col min="12036" max="12036" width="14" customWidth="1"/>
    <col min="12037" max="12037" width="16.28515625" customWidth="1"/>
    <col min="12038" max="12038" width="12.5703125" customWidth="1"/>
    <col min="12039" max="12039" width="13.28515625" customWidth="1"/>
    <col min="12040" max="12040" width="14.85546875" customWidth="1"/>
    <col min="12041" max="12041" width="18" customWidth="1"/>
    <col min="12042" max="12042" width="24" customWidth="1"/>
    <col min="12275" max="12275" width="7.42578125" customWidth="1"/>
    <col min="12276" max="12276" width="22.7109375" customWidth="1"/>
    <col min="12277" max="12277" width="14.42578125" customWidth="1"/>
    <col min="12278" max="12278" width="16.42578125" customWidth="1"/>
    <col min="12279" max="12279" width="8.140625" customWidth="1"/>
    <col min="12280" max="12280" width="10.85546875" customWidth="1"/>
    <col min="12281" max="12281" width="38.85546875" customWidth="1"/>
    <col min="12282" max="12282" width="25.5703125" customWidth="1"/>
    <col min="12286" max="12286" width="44.85546875" customWidth="1"/>
    <col min="12287" max="12287" width="14.42578125" customWidth="1"/>
    <col min="12288" max="12288" width="13.7109375" customWidth="1"/>
    <col min="12289" max="12289" width="13.85546875" customWidth="1"/>
    <col min="12290" max="12290" width="13.5703125" customWidth="1"/>
    <col min="12291" max="12291" width="11.7109375" customWidth="1"/>
    <col min="12292" max="12292" width="14" customWidth="1"/>
    <col min="12293" max="12293" width="16.28515625" customWidth="1"/>
    <col min="12294" max="12294" width="12.5703125" customWidth="1"/>
    <col min="12295" max="12295" width="13.28515625" customWidth="1"/>
    <col min="12296" max="12296" width="14.85546875" customWidth="1"/>
    <col min="12297" max="12297" width="18" customWidth="1"/>
    <col min="12298" max="12298" width="24" customWidth="1"/>
    <col min="12531" max="12531" width="7.42578125" customWidth="1"/>
    <col min="12532" max="12532" width="22.7109375" customWidth="1"/>
    <col min="12533" max="12533" width="14.42578125" customWidth="1"/>
    <col min="12534" max="12534" width="16.42578125" customWidth="1"/>
    <col min="12535" max="12535" width="8.140625" customWidth="1"/>
    <col min="12536" max="12536" width="10.85546875" customWidth="1"/>
    <col min="12537" max="12537" width="38.85546875" customWidth="1"/>
    <col min="12538" max="12538" width="25.5703125" customWidth="1"/>
    <col min="12542" max="12542" width="44.85546875" customWidth="1"/>
    <col min="12543" max="12543" width="14.42578125" customWidth="1"/>
    <col min="12544" max="12544" width="13.7109375" customWidth="1"/>
    <col min="12545" max="12545" width="13.85546875" customWidth="1"/>
    <col min="12546" max="12546" width="13.5703125" customWidth="1"/>
    <col min="12547" max="12547" width="11.7109375" customWidth="1"/>
    <col min="12548" max="12548" width="14" customWidth="1"/>
    <col min="12549" max="12549" width="16.28515625" customWidth="1"/>
    <col min="12550" max="12550" width="12.5703125" customWidth="1"/>
    <col min="12551" max="12551" width="13.28515625" customWidth="1"/>
    <col min="12552" max="12552" width="14.85546875" customWidth="1"/>
    <col min="12553" max="12553" width="18" customWidth="1"/>
    <col min="12554" max="12554" width="24" customWidth="1"/>
    <col min="12787" max="12787" width="7.42578125" customWidth="1"/>
    <col min="12788" max="12788" width="22.7109375" customWidth="1"/>
    <col min="12789" max="12789" width="14.42578125" customWidth="1"/>
    <col min="12790" max="12790" width="16.42578125" customWidth="1"/>
    <col min="12791" max="12791" width="8.140625" customWidth="1"/>
    <col min="12792" max="12792" width="10.85546875" customWidth="1"/>
    <col min="12793" max="12793" width="38.85546875" customWidth="1"/>
    <col min="12794" max="12794" width="25.5703125" customWidth="1"/>
    <col min="12798" max="12798" width="44.85546875" customWidth="1"/>
    <col min="12799" max="12799" width="14.42578125" customWidth="1"/>
    <col min="12800" max="12800" width="13.7109375" customWidth="1"/>
    <col min="12801" max="12801" width="13.85546875" customWidth="1"/>
    <col min="12802" max="12802" width="13.5703125" customWidth="1"/>
    <col min="12803" max="12803" width="11.7109375" customWidth="1"/>
    <col min="12804" max="12804" width="14" customWidth="1"/>
    <col min="12805" max="12805" width="16.28515625" customWidth="1"/>
    <col min="12806" max="12806" width="12.5703125" customWidth="1"/>
    <col min="12807" max="12807" width="13.28515625" customWidth="1"/>
    <col min="12808" max="12808" width="14.85546875" customWidth="1"/>
    <col min="12809" max="12809" width="18" customWidth="1"/>
    <col min="12810" max="12810" width="24" customWidth="1"/>
    <col min="13043" max="13043" width="7.42578125" customWidth="1"/>
    <col min="13044" max="13044" width="22.7109375" customWidth="1"/>
    <col min="13045" max="13045" width="14.42578125" customWidth="1"/>
    <col min="13046" max="13046" width="16.42578125" customWidth="1"/>
    <col min="13047" max="13047" width="8.140625" customWidth="1"/>
    <col min="13048" max="13048" width="10.85546875" customWidth="1"/>
    <col min="13049" max="13049" width="38.85546875" customWidth="1"/>
    <col min="13050" max="13050" width="25.5703125" customWidth="1"/>
    <col min="13054" max="13054" width="44.85546875" customWidth="1"/>
    <col min="13055" max="13055" width="14.42578125" customWidth="1"/>
    <col min="13056" max="13056" width="13.7109375" customWidth="1"/>
    <col min="13057" max="13057" width="13.85546875" customWidth="1"/>
    <col min="13058" max="13058" width="13.5703125" customWidth="1"/>
    <col min="13059" max="13059" width="11.7109375" customWidth="1"/>
    <col min="13060" max="13060" width="14" customWidth="1"/>
    <col min="13061" max="13061" width="16.28515625" customWidth="1"/>
    <col min="13062" max="13062" width="12.5703125" customWidth="1"/>
    <col min="13063" max="13063" width="13.28515625" customWidth="1"/>
    <col min="13064" max="13064" width="14.85546875" customWidth="1"/>
    <col min="13065" max="13065" width="18" customWidth="1"/>
    <col min="13066" max="13066" width="24" customWidth="1"/>
    <col min="13299" max="13299" width="7.42578125" customWidth="1"/>
    <col min="13300" max="13300" width="22.7109375" customWidth="1"/>
    <col min="13301" max="13301" width="14.42578125" customWidth="1"/>
    <col min="13302" max="13302" width="16.42578125" customWidth="1"/>
    <col min="13303" max="13303" width="8.140625" customWidth="1"/>
    <col min="13304" max="13304" width="10.85546875" customWidth="1"/>
    <col min="13305" max="13305" width="38.85546875" customWidth="1"/>
    <col min="13306" max="13306" width="25.5703125" customWidth="1"/>
    <col min="13310" max="13310" width="44.85546875" customWidth="1"/>
    <col min="13311" max="13311" width="14.42578125" customWidth="1"/>
    <col min="13312" max="13312" width="13.7109375" customWidth="1"/>
    <col min="13313" max="13313" width="13.85546875" customWidth="1"/>
    <col min="13314" max="13314" width="13.5703125" customWidth="1"/>
    <col min="13315" max="13315" width="11.7109375" customWidth="1"/>
    <col min="13316" max="13316" width="14" customWidth="1"/>
    <col min="13317" max="13317" width="16.28515625" customWidth="1"/>
    <col min="13318" max="13318" width="12.5703125" customWidth="1"/>
    <col min="13319" max="13319" width="13.28515625" customWidth="1"/>
    <col min="13320" max="13320" width="14.85546875" customWidth="1"/>
    <col min="13321" max="13321" width="18" customWidth="1"/>
    <col min="13322" max="13322" width="24" customWidth="1"/>
    <col min="13555" max="13555" width="7.42578125" customWidth="1"/>
    <col min="13556" max="13556" width="22.7109375" customWidth="1"/>
    <col min="13557" max="13557" width="14.42578125" customWidth="1"/>
    <col min="13558" max="13558" width="16.42578125" customWidth="1"/>
    <col min="13559" max="13559" width="8.140625" customWidth="1"/>
    <col min="13560" max="13560" width="10.85546875" customWidth="1"/>
    <col min="13561" max="13561" width="38.85546875" customWidth="1"/>
    <col min="13562" max="13562" width="25.5703125" customWidth="1"/>
    <col min="13566" max="13566" width="44.85546875" customWidth="1"/>
    <col min="13567" max="13567" width="14.42578125" customWidth="1"/>
    <col min="13568" max="13568" width="13.7109375" customWidth="1"/>
    <col min="13569" max="13569" width="13.85546875" customWidth="1"/>
    <col min="13570" max="13570" width="13.5703125" customWidth="1"/>
    <col min="13571" max="13571" width="11.7109375" customWidth="1"/>
    <col min="13572" max="13572" width="14" customWidth="1"/>
    <col min="13573" max="13573" width="16.28515625" customWidth="1"/>
    <col min="13574" max="13574" width="12.5703125" customWidth="1"/>
    <col min="13575" max="13575" width="13.28515625" customWidth="1"/>
    <col min="13576" max="13576" width="14.85546875" customWidth="1"/>
    <col min="13577" max="13577" width="18" customWidth="1"/>
    <col min="13578" max="13578" width="24" customWidth="1"/>
    <col min="13811" max="13811" width="7.42578125" customWidth="1"/>
    <col min="13812" max="13812" width="22.7109375" customWidth="1"/>
    <col min="13813" max="13813" width="14.42578125" customWidth="1"/>
    <col min="13814" max="13814" width="16.42578125" customWidth="1"/>
    <col min="13815" max="13815" width="8.140625" customWidth="1"/>
    <col min="13816" max="13816" width="10.85546875" customWidth="1"/>
    <col min="13817" max="13817" width="38.85546875" customWidth="1"/>
    <col min="13818" max="13818" width="25.5703125" customWidth="1"/>
    <col min="13822" max="13822" width="44.85546875" customWidth="1"/>
    <col min="13823" max="13823" width="14.42578125" customWidth="1"/>
    <col min="13824" max="13824" width="13.7109375" customWidth="1"/>
    <col min="13825" max="13825" width="13.85546875" customWidth="1"/>
    <col min="13826" max="13826" width="13.5703125" customWidth="1"/>
    <col min="13827" max="13827" width="11.7109375" customWidth="1"/>
    <col min="13828" max="13828" width="14" customWidth="1"/>
    <col min="13829" max="13829" width="16.28515625" customWidth="1"/>
    <col min="13830" max="13830" width="12.5703125" customWidth="1"/>
    <col min="13831" max="13831" width="13.28515625" customWidth="1"/>
    <col min="13832" max="13832" width="14.85546875" customWidth="1"/>
    <col min="13833" max="13833" width="18" customWidth="1"/>
    <col min="13834" max="13834" width="24" customWidth="1"/>
    <col min="14067" max="14067" width="7.42578125" customWidth="1"/>
    <col min="14068" max="14068" width="22.7109375" customWidth="1"/>
    <col min="14069" max="14069" width="14.42578125" customWidth="1"/>
    <col min="14070" max="14070" width="16.42578125" customWidth="1"/>
    <col min="14071" max="14071" width="8.140625" customWidth="1"/>
    <col min="14072" max="14072" width="10.85546875" customWidth="1"/>
    <col min="14073" max="14073" width="38.85546875" customWidth="1"/>
    <col min="14074" max="14074" width="25.5703125" customWidth="1"/>
    <col min="14078" max="14078" width="44.85546875" customWidth="1"/>
    <col min="14079" max="14079" width="14.42578125" customWidth="1"/>
    <col min="14080" max="14080" width="13.7109375" customWidth="1"/>
    <col min="14081" max="14081" width="13.85546875" customWidth="1"/>
    <col min="14082" max="14082" width="13.5703125" customWidth="1"/>
    <col min="14083" max="14083" width="11.7109375" customWidth="1"/>
    <col min="14084" max="14084" width="14" customWidth="1"/>
    <col min="14085" max="14085" width="16.28515625" customWidth="1"/>
    <col min="14086" max="14086" width="12.5703125" customWidth="1"/>
    <col min="14087" max="14087" width="13.28515625" customWidth="1"/>
    <col min="14088" max="14088" width="14.85546875" customWidth="1"/>
    <col min="14089" max="14089" width="18" customWidth="1"/>
    <col min="14090" max="14090" width="24" customWidth="1"/>
    <col min="14323" max="14323" width="7.42578125" customWidth="1"/>
    <col min="14324" max="14324" width="22.7109375" customWidth="1"/>
    <col min="14325" max="14325" width="14.42578125" customWidth="1"/>
    <col min="14326" max="14326" width="16.42578125" customWidth="1"/>
    <col min="14327" max="14327" width="8.140625" customWidth="1"/>
    <col min="14328" max="14328" width="10.85546875" customWidth="1"/>
    <col min="14329" max="14329" width="38.85546875" customWidth="1"/>
    <col min="14330" max="14330" width="25.5703125" customWidth="1"/>
    <col min="14334" max="14334" width="44.85546875" customWidth="1"/>
    <col min="14335" max="14335" width="14.42578125" customWidth="1"/>
    <col min="14336" max="14336" width="13.7109375" customWidth="1"/>
    <col min="14337" max="14337" width="13.85546875" customWidth="1"/>
    <col min="14338" max="14338" width="13.5703125" customWidth="1"/>
    <col min="14339" max="14339" width="11.7109375" customWidth="1"/>
    <col min="14340" max="14340" width="14" customWidth="1"/>
    <col min="14341" max="14341" width="16.28515625" customWidth="1"/>
    <col min="14342" max="14342" width="12.5703125" customWidth="1"/>
    <col min="14343" max="14343" width="13.28515625" customWidth="1"/>
    <col min="14344" max="14344" width="14.85546875" customWidth="1"/>
    <col min="14345" max="14345" width="18" customWidth="1"/>
    <col min="14346" max="14346" width="24" customWidth="1"/>
    <col min="14579" max="14579" width="7.42578125" customWidth="1"/>
    <col min="14580" max="14580" width="22.7109375" customWidth="1"/>
    <col min="14581" max="14581" width="14.42578125" customWidth="1"/>
    <col min="14582" max="14582" width="16.42578125" customWidth="1"/>
    <col min="14583" max="14583" width="8.140625" customWidth="1"/>
    <col min="14584" max="14584" width="10.85546875" customWidth="1"/>
    <col min="14585" max="14585" width="38.85546875" customWidth="1"/>
    <col min="14586" max="14586" width="25.5703125" customWidth="1"/>
    <col min="14590" max="14590" width="44.85546875" customWidth="1"/>
    <col min="14591" max="14591" width="14.42578125" customWidth="1"/>
    <col min="14592" max="14592" width="13.7109375" customWidth="1"/>
    <col min="14593" max="14593" width="13.85546875" customWidth="1"/>
    <col min="14594" max="14594" width="13.5703125" customWidth="1"/>
    <col min="14595" max="14595" width="11.7109375" customWidth="1"/>
    <col min="14596" max="14596" width="14" customWidth="1"/>
    <col min="14597" max="14597" width="16.28515625" customWidth="1"/>
    <col min="14598" max="14598" width="12.5703125" customWidth="1"/>
    <col min="14599" max="14599" width="13.28515625" customWidth="1"/>
    <col min="14600" max="14600" width="14.85546875" customWidth="1"/>
    <col min="14601" max="14601" width="18" customWidth="1"/>
    <col min="14602" max="14602" width="24" customWidth="1"/>
    <col min="14835" max="14835" width="7.42578125" customWidth="1"/>
    <col min="14836" max="14836" width="22.7109375" customWidth="1"/>
    <col min="14837" max="14837" width="14.42578125" customWidth="1"/>
    <col min="14838" max="14838" width="16.42578125" customWidth="1"/>
    <col min="14839" max="14839" width="8.140625" customWidth="1"/>
    <col min="14840" max="14840" width="10.85546875" customWidth="1"/>
    <col min="14841" max="14841" width="38.85546875" customWidth="1"/>
    <col min="14842" max="14842" width="25.5703125" customWidth="1"/>
    <col min="14846" max="14846" width="44.85546875" customWidth="1"/>
    <col min="14847" max="14847" width="14.42578125" customWidth="1"/>
    <col min="14848" max="14848" width="13.7109375" customWidth="1"/>
    <col min="14849" max="14849" width="13.85546875" customWidth="1"/>
    <col min="14850" max="14850" width="13.5703125" customWidth="1"/>
    <col min="14851" max="14851" width="11.7109375" customWidth="1"/>
    <col min="14852" max="14852" width="14" customWidth="1"/>
    <col min="14853" max="14853" width="16.28515625" customWidth="1"/>
    <col min="14854" max="14854" width="12.5703125" customWidth="1"/>
    <col min="14855" max="14855" width="13.28515625" customWidth="1"/>
    <col min="14856" max="14856" width="14.85546875" customWidth="1"/>
    <col min="14857" max="14857" width="18" customWidth="1"/>
    <col min="14858" max="14858" width="24" customWidth="1"/>
    <col min="15091" max="15091" width="7.42578125" customWidth="1"/>
    <col min="15092" max="15092" width="22.7109375" customWidth="1"/>
    <col min="15093" max="15093" width="14.42578125" customWidth="1"/>
    <col min="15094" max="15094" width="16.42578125" customWidth="1"/>
    <col min="15095" max="15095" width="8.140625" customWidth="1"/>
    <col min="15096" max="15096" width="10.85546875" customWidth="1"/>
    <col min="15097" max="15097" width="38.85546875" customWidth="1"/>
    <col min="15098" max="15098" width="25.5703125" customWidth="1"/>
    <col min="15102" max="15102" width="44.85546875" customWidth="1"/>
    <col min="15103" max="15103" width="14.42578125" customWidth="1"/>
    <col min="15104" max="15104" width="13.7109375" customWidth="1"/>
    <col min="15105" max="15105" width="13.85546875" customWidth="1"/>
    <col min="15106" max="15106" width="13.5703125" customWidth="1"/>
    <col min="15107" max="15107" width="11.7109375" customWidth="1"/>
    <col min="15108" max="15108" width="14" customWidth="1"/>
    <col min="15109" max="15109" width="16.28515625" customWidth="1"/>
    <col min="15110" max="15110" width="12.5703125" customWidth="1"/>
    <col min="15111" max="15111" width="13.28515625" customWidth="1"/>
    <col min="15112" max="15112" width="14.85546875" customWidth="1"/>
    <col min="15113" max="15113" width="18" customWidth="1"/>
    <col min="15114" max="15114" width="24" customWidth="1"/>
    <col min="15347" max="15347" width="7.42578125" customWidth="1"/>
    <col min="15348" max="15348" width="22.7109375" customWidth="1"/>
    <col min="15349" max="15349" width="14.42578125" customWidth="1"/>
    <col min="15350" max="15350" width="16.42578125" customWidth="1"/>
    <col min="15351" max="15351" width="8.140625" customWidth="1"/>
    <col min="15352" max="15352" width="10.85546875" customWidth="1"/>
    <col min="15353" max="15353" width="38.85546875" customWidth="1"/>
    <col min="15354" max="15354" width="25.5703125" customWidth="1"/>
    <col min="15358" max="15358" width="44.85546875" customWidth="1"/>
    <col min="15359" max="15359" width="14.42578125" customWidth="1"/>
    <col min="15360" max="15360" width="13.7109375" customWidth="1"/>
    <col min="15361" max="15361" width="13.85546875" customWidth="1"/>
    <col min="15362" max="15362" width="13.5703125" customWidth="1"/>
    <col min="15363" max="15363" width="11.7109375" customWidth="1"/>
    <col min="15364" max="15364" width="14" customWidth="1"/>
    <col min="15365" max="15365" width="16.28515625" customWidth="1"/>
    <col min="15366" max="15366" width="12.5703125" customWidth="1"/>
    <col min="15367" max="15367" width="13.28515625" customWidth="1"/>
    <col min="15368" max="15368" width="14.85546875" customWidth="1"/>
    <col min="15369" max="15369" width="18" customWidth="1"/>
    <col min="15370" max="15370" width="24" customWidth="1"/>
    <col min="15603" max="15603" width="7.42578125" customWidth="1"/>
    <col min="15604" max="15604" width="22.7109375" customWidth="1"/>
    <col min="15605" max="15605" width="14.42578125" customWidth="1"/>
    <col min="15606" max="15606" width="16.42578125" customWidth="1"/>
    <col min="15607" max="15607" width="8.140625" customWidth="1"/>
    <col min="15608" max="15608" width="10.85546875" customWidth="1"/>
    <col min="15609" max="15609" width="38.85546875" customWidth="1"/>
    <col min="15610" max="15610" width="25.5703125" customWidth="1"/>
    <col min="15614" max="15614" width="44.85546875" customWidth="1"/>
    <col min="15615" max="15615" width="14.42578125" customWidth="1"/>
    <col min="15616" max="15616" width="13.7109375" customWidth="1"/>
    <col min="15617" max="15617" width="13.85546875" customWidth="1"/>
    <col min="15618" max="15618" width="13.5703125" customWidth="1"/>
    <col min="15619" max="15619" width="11.7109375" customWidth="1"/>
    <col min="15620" max="15620" width="14" customWidth="1"/>
    <col min="15621" max="15621" width="16.28515625" customWidth="1"/>
    <col min="15622" max="15622" width="12.5703125" customWidth="1"/>
    <col min="15623" max="15623" width="13.28515625" customWidth="1"/>
    <col min="15624" max="15624" width="14.85546875" customWidth="1"/>
    <col min="15625" max="15625" width="18" customWidth="1"/>
    <col min="15626" max="15626" width="24" customWidth="1"/>
    <col min="15859" max="15859" width="7.42578125" customWidth="1"/>
    <col min="15860" max="15860" width="22.7109375" customWidth="1"/>
    <col min="15861" max="15861" width="14.42578125" customWidth="1"/>
    <col min="15862" max="15862" width="16.42578125" customWidth="1"/>
    <col min="15863" max="15863" width="8.140625" customWidth="1"/>
    <col min="15864" max="15864" width="10.85546875" customWidth="1"/>
    <col min="15865" max="15865" width="38.85546875" customWidth="1"/>
    <col min="15866" max="15866" width="25.5703125" customWidth="1"/>
    <col min="15870" max="15870" width="44.85546875" customWidth="1"/>
    <col min="15871" max="15871" width="14.42578125" customWidth="1"/>
    <col min="15872" max="15872" width="13.7109375" customWidth="1"/>
    <col min="15873" max="15873" width="13.85546875" customWidth="1"/>
    <col min="15874" max="15874" width="13.5703125" customWidth="1"/>
    <col min="15875" max="15875" width="11.7109375" customWidth="1"/>
    <col min="15876" max="15876" width="14" customWidth="1"/>
    <col min="15877" max="15877" width="16.28515625" customWidth="1"/>
    <col min="15878" max="15878" width="12.5703125" customWidth="1"/>
    <col min="15879" max="15879" width="13.28515625" customWidth="1"/>
    <col min="15880" max="15880" width="14.85546875" customWidth="1"/>
    <col min="15881" max="15881" width="18" customWidth="1"/>
    <col min="15882" max="15882" width="24" customWidth="1"/>
    <col min="16115" max="16115" width="7.42578125" customWidth="1"/>
    <col min="16116" max="16116" width="22.7109375" customWidth="1"/>
    <col min="16117" max="16117" width="14.42578125" customWidth="1"/>
    <col min="16118" max="16118" width="16.42578125" customWidth="1"/>
    <col min="16119" max="16119" width="8.140625" customWidth="1"/>
    <col min="16120" max="16120" width="10.85546875" customWidth="1"/>
    <col min="16121" max="16121" width="38.85546875" customWidth="1"/>
    <col min="16122" max="16122" width="25.5703125" customWidth="1"/>
    <col min="16126" max="16126" width="44.85546875" customWidth="1"/>
    <col min="16127" max="16127" width="14.42578125" customWidth="1"/>
    <col min="16128" max="16128" width="13.7109375" customWidth="1"/>
    <col min="16129" max="16129" width="13.85546875" customWidth="1"/>
    <col min="16130" max="16130" width="13.5703125" customWidth="1"/>
    <col min="16131" max="16131" width="11.7109375" customWidth="1"/>
    <col min="16132" max="16132" width="14" customWidth="1"/>
    <col min="16133" max="16133" width="16.28515625" customWidth="1"/>
    <col min="16134" max="16134" width="12.5703125" customWidth="1"/>
    <col min="16135" max="16135" width="13.28515625" customWidth="1"/>
    <col min="16136" max="16136" width="14.85546875" customWidth="1"/>
    <col min="16137" max="16137" width="18" customWidth="1"/>
    <col min="16138" max="16138" width="24" customWidth="1"/>
  </cols>
  <sheetData>
    <row r="2" spans="1:28" s="7" customFormat="1" ht="18" x14ac:dyDescent="0.25">
      <c r="A2" s="287" t="s">
        <v>292</v>
      </c>
      <c r="B2" s="287"/>
      <c r="C2" s="287"/>
      <c r="D2" s="287"/>
      <c r="E2" s="287"/>
      <c r="F2" s="287"/>
      <c r="G2" s="287"/>
      <c r="H2" s="287"/>
      <c r="I2" s="287"/>
      <c r="J2" s="287"/>
      <c r="K2" s="8"/>
      <c r="L2" s="8"/>
      <c r="M2" s="8"/>
      <c r="N2" s="8"/>
      <c r="O2" s="8"/>
      <c r="P2" s="8"/>
      <c r="Q2" s="8"/>
      <c r="R2" s="8"/>
      <c r="S2" s="8"/>
      <c r="T2" s="8"/>
      <c r="U2" s="8"/>
      <c r="V2" s="8"/>
      <c r="W2" s="8"/>
      <c r="X2" s="8"/>
      <c r="Y2" s="8"/>
      <c r="Z2" s="8"/>
      <c r="AA2" s="8"/>
      <c r="AB2" s="8"/>
    </row>
    <row r="3" spans="1:28" s="7" customFormat="1" ht="18.75" thickBot="1" x14ac:dyDescent="0.3">
      <c r="A3" s="64"/>
      <c r="B3" s="163"/>
      <c r="C3" s="64"/>
      <c r="D3" s="64"/>
      <c r="E3" s="64"/>
      <c r="F3" s="64"/>
      <c r="G3" s="89"/>
      <c r="H3" s="64"/>
      <c r="I3" s="64"/>
      <c r="J3" s="64"/>
      <c r="K3" s="8"/>
      <c r="L3" s="8"/>
      <c r="M3" s="8"/>
      <c r="N3" s="8"/>
      <c r="O3" s="8"/>
      <c r="P3" s="8"/>
      <c r="Q3" s="8"/>
      <c r="R3" s="8"/>
      <c r="S3" s="8"/>
      <c r="T3" s="8"/>
      <c r="U3" s="8"/>
      <c r="V3" s="8"/>
      <c r="W3" s="8"/>
      <c r="X3" s="8"/>
      <c r="Y3" s="8"/>
      <c r="Z3" s="8"/>
      <c r="AA3" s="8"/>
      <c r="AB3" s="8"/>
    </row>
    <row r="4" spans="1:28" s="7" customFormat="1" ht="18.75" thickBot="1" x14ac:dyDescent="0.3">
      <c r="A4" s="64"/>
      <c r="B4" s="163"/>
      <c r="C4" s="64"/>
      <c r="D4" s="290" t="s">
        <v>310</v>
      </c>
      <c r="E4" s="291"/>
      <c r="F4" s="292"/>
      <c r="G4" s="90" t="s">
        <v>314</v>
      </c>
      <c r="H4" s="290" t="s">
        <v>314</v>
      </c>
      <c r="I4" s="292"/>
      <c r="J4" s="64"/>
      <c r="K4" s="8"/>
      <c r="L4" s="8"/>
      <c r="M4" s="8"/>
      <c r="N4" s="8"/>
      <c r="O4" s="8"/>
      <c r="P4" s="8"/>
      <c r="Q4" s="8"/>
      <c r="R4" s="8"/>
      <c r="S4" s="8"/>
      <c r="T4" s="8"/>
      <c r="U4" s="8"/>
      <c r="V4" s="8"/>
      <c r="W4" s="8"/>
      <c r="X4" s="8"/>
      <c r="Y4" s="8"/>
      <c r="Z4" s="8"/>
      <c r="AA4" s="8"/>
      <c r="AB4" s="8"/>
    </row>
    <row r="5" spans="1:28" ht="51" customHeight="1" thickBot="1" x14ac:dyDescent="0.3">
      <c r="A5" s="65"/>
      <c r="B5" s="78" t="s">
        <v>293</v>
      </c>
      <c r="C5" s="78" t="s">
        <v>363</v>
      </c>
      <c r="D5" s="67" t="s">
        <v>311</v>
      </c>
      <c r="E5" s="67" t="s">
        <v>312</v>
      </c>
      <c r="F5" s="68" t="s">
        <v>313</v>
      </c>
      <c r="G5" s="67" t="s">
        <v>309</v>
      </c>
      <c r="H5" s="69" t="s">
        <v>4</v>
      </c>
      <c r="I5" s="69" t="s">
        <v>5</v>
      </c>
      <c r="J5" s="77" t="s">
        <v>307</v>
      </c>
    </row>
    <row r="6" spans="1:28" s="17" customFormat="1" ht="24.95" customHeight="1" x14ac:dyDescent="0.2">
      <c r="A6" s="66"/>
      <c r="B6" s="174" t="s">
        <v>294</v>
      </c>
      <c r="C6" s="181" t="s">
        <v>364</v>
      </c>
      <c r="D6" s="175">
        <f>'JAN-18'!L24</f>
        <v>352</v>
      </c>
      <c r="E6" s="175">
        <f>'JAN-18'!M24</f>
        <v>1283.18</v>
      </c>
      <c r="F6" s="175">
        <v>0</v>
      </c>
      <c r="G6" s="175">
        <f>'JAN-18'!O26</f>
        <v>810.8886</v>
      </c>
      <c r="H6" s="176">
        <f>'JAN-18'!P24</f>
        <v>38732.61</v>
      </c>
      <c r="I6" s="176">
        <f>'JAN-18'!Q24</f>
        <v>5595.0600000000013</v>
      </c>
      <c r="J6" s="83">
        <f>D6+E6+F6+G6+H6+I6</f>
        <v>46773.738599999997</v>
      </c>
      <c r="K6" s="16"/>
      <c r="L6" s="85">
        <f>J6-'JAN-18'!R24</f>
        <v>0</v>
      </c>
      <c r="M6" s="16"/>
      <c r="N6" s="16"/>
    </row>
    <row r="7" spans="1:28" s="17" customFormat="1" ht="24.95" customHeight="1" x14ac:dyDescent="0.2">
      <c r="A7" s="66"/>
      <c r="B7" s="70" t="s">
        <v>295</v>
      </c>
      <c r="C7" s="182" t="s">
        <v>364</v>
      </c>
      <c r="D7" s="73">
        <f>'FEV-18'!L28</f>
        <v>451.75</v>
      </c>
      <c r="E7" s="73">
        <f>'FEV-18'!M28</f>
        <v>1338.65</v>
      </c>
      <c r="F7" s="73">
        <f>'FEV-18'!N28</f>
        <v>795.2</v>
      </c>
      <c r="G7" s="73">
        <f>'FEV-18'!O30</f>
        <v>1110.2627</v>
      </c>
      <c r="H7" s="74">
        <f>'FEV-18'!P28</f>
        <v>41068.11</v>
      </c>
      <c r="I7" s="74">
        <f>'FEV-18'!Q28</f>
        <v>7440.5900000000011</v>
      </c>
      <c r="J7" s="83">
        <f t="shared" ref="J7:J17" si="0">D7+E7+F7+G7+H7+I7</f>
        <v>52204.562700000002</v>
      </c>
      <c r="K7" s="16"/>
      <c r="L7" s="85">
        <f>J7-'FEV-18'!R28</f>
        <v>0</v>
      </c>
      <c r="M7" s="16"/>
      <c r="N7" s="16"/>
    </row>
    <row r="8" spans="1:28" s="17" customFormat="1" ht="24.95" customHeight="1" x14ac:dyDescent="0.2">
      <c r="A8" s="66"/>
      <c r="B8" s="71" t="s">
        <v>296</v>
      </c>
      <c r="C8" s="182" t="s">
        <v>364</v>
      </c>
      <c r="D8" s="73">
        <f>'MAR-18'!L33</f>
        <v>254.41</v>
      </c>
      <c r="E8" s="73">
        <f>'MAR-18'!M33</f>
        <v>1973.3600000000001</v>
      </c>
      <c r="F8" s="73">
        <v>0</v>
      </c>
      <c r="G8" s="73">
        <f>'MAR-18'!O35</f>
        <v>1820.9188999999999</v>
      </c>
      <c r="H8" s="74">
        <f>'MAR-18'!P33</f>
        <v>51559.59</v>
      </c>
      <c r="I8" s="74">
        <f>'MAR-18'!Q33</f>
        <v>21187.97</v>
      </c>
      <c r="J8" s="83">
        <f t="shared" si="0"/>
        <v>76796.248900000006</v>
      </c>
      <c r="K8" s="16"/>
      <c r="L8" s="85">
        <f>J8-'MAR-18'!R33</f>
        <v>0</v>
      </c>
      <c r="M8" s="16"/>
      <c r="N8" s="16"/>
    </row>
    <row r="9" spans="1:28" s="17" customFormat="1" ht="24.95" customHeight="1" x14ac:dyDescent="0.2">
      <c r="A9" s="66"/>
      <c r="B9" s="70" t="s">
        <v>297</v>
      </c>
      <c r="C9" s="182" t="s">
        <v>364</v>
      </c>
      <c r="D9" s="73">
        <f>'ABR-18'!L29</f>
        <v>817.7</v>
      </c>
      <c r="E9" s="73">
        <f>'ABR-18'!M29</f>
        <v>1036.72</v>
      </c>
      <c r="F9" s="73">
        <v>0</v>
      </c>
      <c r="G9" s="73">
        <f>'ABR-18'!O31</f>
        <v>1090.6889000000001</v>
      </c>
      <c r="H9" s="74">
        <f>'ABR-18'!P29</f>
        <v>42154.37</v>
      </c>
      <c r="I9" s="74">
        <f>'ABR-18'!Q29</f>
        <v>18156.22</v>
      </c>
      <c r="J9" s="83">
        <f t="shared" si="0"/>
        <v>63255.698900000003</v>
      </c>
      <c r="K9" s="16"/>
      <c r="L9" s="85">
        <f>J9-'ABR-18'!R29</f>
        <v>0</v>
      </c>
      <c r="M9" s="16"/>
      <c r="N9" s="16"/>
    </row>
    <row r="10" spans="1:28" s="17" customFormat="1" ht="24.95" customHeight="1" x14ac:dyDescent="0.2">
      <c r="A10" s="66"/>
      <c r="B10" s="70" t="s">
        <v>298</v>
      </c>
      <c r="C10" s="182" t="s">
        <v>364</v>
      </c>
      <c r="D10" s="73">
        <f>'MAI-18'!L26</f>
        <v>1664.6799999999998</v>
      </c>
      <c r="E10" s="73">
        <f>'MAI-18'!M26</f>
        <v>1457.1000000000001</v>
      </c>
      <c r="F10" s="73">
        <f>'MAI-18'!N26</f>
        <v>50</v>
      </c>
      <c r="G10" s="73">
        <f>'MAI-18'!O29</f>
        <v>1021.817</v>
      </c>
      <c r="H10" s="74">
        <f>'MAI-18'!P26</f>
        <v>20952.939999999995</v>
      </c>
      <c r="I10" s="74">
        <f>'MAI-18'!Q26</f>
        <v>3117.41</v>
      </c>
      <c r="J10" s="83">
        <f t="shared" si="0"/>
        <v>28263.946999999996</v>
      </c>
      <c r="K10" s="16"/>
      <c r="L10" s="85">
        <f>J10-'MAI-18'!R26</f>
        <v>0</v>
      </c>
      <c r="M10" s="16"/>
      <c r="N10" s="16"/>
    </row>
    <row r="11" spans="1:28" s="17" customFormat="1" ht="24.95" customHeight="1" x14ac:dyDescent="0.2">
      <c r="A11" s="66"/>
      <c r="B11" s="70" t="s">
        <v>299</v>
      </c>
      <c r="C11" s="182" t="s">
        <v>364</v>
      </c>
      <c r="D11" s="73">
        <f>'JUN-18'!L17</f>
        <v>126.98</v>
      </c>
      <c r="E11" s="73">
        <f>'JUN-18'!M17</f>
        <v>1270.75</v>
      </c>
      <c r="F11" s="73">
        <v>0</v>
      </c>
      <c r="G11" s="73">
        <f>'JUN-18'!O19</f>
        <v>602.09130000000005</v>
      </c>
      <c r="H11" s="74">
        <f>'JUN-18'!P17</f>
        <v>11670.34</v>
      </c>
      <c r="I11" s="74">
        <f>'JUN-18'!Q17</f>
        <v>3249.6499999999996</v>
      </c>
      <c r="J11" s="83">
        <f t="shared" si="0"/>
        <v>16919.811300000001</v>
      </c>
      <c r="K11" s="16"/>
      <c r="L11" s="85">
        <f>J11-'JUN-18'!R17</f>
        <v>0</v>
      </c>
      <c r="M11" s="16"/>
      <c r="N11" s="16"/>
    </row>
    <row r="12" spans="1:28" s="17" customFormat="1" ht="24.95" customHeight="1" x14ac:dyDescent="0.2">
      <c r="A12" s="66"/>
      <c r="B12" s="70" t="s">
        <v>300</v>
      </c>
      <c r="C12" s="182" t="s">
        <v>364</v>
      </c>
      <c r="D12" s="73">
        <f>'JUL-18'!L18</f>
        <v>322.53999999999996</v>
      </c>
      <c r="E12" s="73">
        <f>'JUL-18'!M18</f>
        <v>489.69999999999993</v>
      </c>
      <c r="F12" s="73">
        <v>0</v>
      </c>
      <c r="G12" s="73">
        <f>'JUL-18'!O20</f>
        <v>551.86400000000003</v>
      </c>
      <c r="H12" s="74">
        <f>'JUL-18'!P18</f>
        <v>17143.68</v>
      </c>
      <c r="I12" s="74">
        <f>'JUL-18'!Q18</f>
        <v>6156.3300000000008</v>
      </c>
      <c r="J12" s="83">
        <f t="shared" si="0"/>
        <v>24664.114000000001</v>
      </c>
      <c r="K12" s="16"/>
      <c r="L12" s="85">
        <f>J12-'JUL-18'!R18</f>
        <v>0</v>
      </c>
      <c r="M12" s="16"/>
      <c r="N12" s="16"/>
    </row>
    <row r="13" spans="1:28" s="17" customFormat="1" ht="24.95" customHeight="1" x14ac:dyDescent="0.2">
      <c r="A13" s="66"/>
      <c r="B13" s="71" t="s">
        <v>301</v>
      </c>
      <c r="C13" s="182" t="s">
        <v>364</v>
      </c>
      <c r="D13" s="73">
        <f>'AGO-18'!L33</f>
        <v>1007.56</v>
      </c>
      <c r="E13" s="73">
        <f>'AGO-18'!M33</f>
        <v>2156.87</v>
      </c>
      <c r="F13" s="73">
        <f>'AGO-18'!N33</f>
        <v>50</v>
      </c>
      <c r="G13" s="73">
        <f>'AGO-18'!O35</f>
        <v>2631.5651000000003</v>
      </c>
      <c r="H13" s="74">
        <f>'AGO-18'!P33</f>
        <v>40557.709999999992</v>
      </c>
      <c r="I13" s="74">
        <f>'AGO-18'!Q33</f>
        <v>23144.579999999994</v>
      </c>
      <c r="J13" s="83">
        <f t="shared" si="0"/>
        <v>69548.285099999979</v>
      </c>
      <c r="K13" s="16"/>
      <c r="L13" s="85">
        <f>J13-'AGO-18'!R33</f>
        <v>0</v>
      </c>
      <c r="M13" s="16"/>
      <c r="N13" s="16"/>
    </row>
    <row r="14" spans="1:28" s="17" customFormat="1" ht="24.95" customHeight="1" x14ac:dyDescent="0.2">
      <c r="A14" s="66"/>
      <c r="B14" s="71" t="s">
        <v>302</v>
      </c>
      <c r="C14" s="182" t="s">
        <v>364</v>
      </c>
      <c r="D14" s="73">
        <f>'SET-18'!L25</f>
        <v>772.01</v>
      </c>
      <c r="E14" s="73">
        <f>'SET-18'!M25</f>
        <v>678.97</v>
      </c>
      <c r="F14" s="73">
        <f>'SET-18'!N25</f>
        <v>0</v>
      </c>
      <c r="G14" s="73">
        <f>'SET-18'!O27</f>
        <v>1743.9669999999999</v>
      </c>
      <c r="H14" s="74">
        <f>'SET-18'!P25</f>
        <v>27698.189999999995</v>
      </c>
      <c r="I14" s="74">
        <f>'SET-18'!Q25</f>
        <v>3290.6</v>
      </c>
      <c r="J14" s="83">
        <f t="shared" si="0"/>
        <v>34183.736999999994</v>
      </c>
      <c r="K14" s="16"/>
      <c r="L14" s="85">
        <f>J14-'SET-18'!R25</f>
        <v>0</v>
      </c>
      <c r="M14" s="16"/>
      <c r="N14" s="16"/>
    </row>
    <row r="15" spans="1:28" s="17" customFormat="1" ht="24.95" customHeight="1" x14ac:dyDescent="0.2">
      <c r="A15" s="66"/>
      <c r="B15" s="71" t="s">
        <v>303</v>
      </c>
      <c r="C15" s="182" t="s">
        <v>364</v>
      </c>
      <c r="D15" s="73">
        <f>'OUT-18'!L30</f>
        <v>1162.8100000000002</v>
      </c>
      <c r="E15" s="73">
        <f>'OUT-18'!M30</f>
        <v>2546.7800000000002</v>
      </c>
      <c r="F15" s="73">
        <f>'OUT-18'!N30</f>
        <v>0</v>
      </c>
      <c r="G15" s="73">
        <f>'OUT-18'!O32</f>
        <v>1057.8134000000002</v>
      </c>
      <c r="H15" s="74">
        <f>'OUT-18'!P30</f>
        <v>42682.750000000007</v>
      </c>
      <c r="I15" s="74">
        <f>'OUT-18'!Q30</f>
        <v>19905.969999999998</v>
      </c>
      <c r="J15" s="83">
        <f t="shared" si="0"/>
        <v>67356.123400000011</v>
      </c>
      <c r="K15" s="16"/>
      <c r="L15" s="85">
        <f>J15-'OUT-18'!R30</f>
        <v>0</v>
      </c>
      <c r="M15" s="16"/>
      <c r="N15" s="16"/>
    </row>
    <row r="16" spans="1:28" s="17" customFormat="1" ht="24.95" customHeight="1" x14ac:dyDescent="0.2">
      <c r="A16" s="66"/>
      <c r="B16" s="71" t="s">
        <v>304</v>
      </c>
      <c r="C16" s="182" t="s">
        <v>364</v>
      </c>
      <c r="D16" s="73">
        <f>'NOV-18'!L24</f>
        <v>982.72</v>
      </c>
      <c r="E16" s="73">
        <f>'NOV-18'!M24</f>
        <v>2057.2499999999995</v>
      </c>
      <c r="F16" s="73">
        <f>'NOV-18'!N24</f>
        <v>0</v>
      </c>
      <c r="G16" s="73">
        <f>'NOV-18'!O26</f>
        <v>764.30740000000003</v>
      </c>
      <c r="H16" s="74">
        <f>'NOV-18'!P24</f>
        <v>28617.659999999996</v>
      </c>
      <c r="I16" s="74">
        <f>'NOV-18'!Q24</f>
        <v>4772.9699999999993</v>
      </c>
      <c r="J16" s="83">
        <f t="shared" si="0"/>
        <v>37194.907399999996</v>
      </c>
      <c r="K16" s="16"/>
      <c r="L16" s="85">
        <f>J16-'NOV-18'!R24</f>
        <v>0</v>
      </c>
      <c r="M16" s="16"/>
      <c r="N16" s="16"/>
    </row>
    <row r="17" spans="1:14" s="17" customFormat="1" ht="24.95" customHeight="1" thickBot="1" x14ac:dyDescent="0.25">
      <c r="A17" s="66"/>
      <c r="B17" s="72" t="s">
        <v>305</v>
      </c>
      <c r="C17" s="183" t="s">
        <v>364</v>
      </c>
      <c r="D17" s="75">
        <f>'DEZ-18'!L25</f>
        <v>987.04000000000008</v>
      </c>
      <c r="E17" s="75">
        <f>'DEZ-18'!M25</f>
        <v>1499.6699999999998</v>
      </c>
      <c r="F17" s="75">
        <f>'DEZ-18'!N25</f>
        <v>0</v>
      </c>
      <c r="G17" s="75">
        <f>'DEZ-18'!O27</f>
        <v>609.18150000000003</v>
      </c>
      <c r="H17" s="76">
        <f>'DEZ-18'!P25</f>
        <v>31457.149999999998</v>
      </c>
      <c r="I17" s="76">
        <f>'DEZ-18'!Q25</f>
        <v>7147.0599999999995</v>
      </c>
      <c r="J17" s="178">
        <f t="shared" si="0"/>
        <v>41700.101499999997</v>
      </c>
      <c r="K17" s="16"/>
      <c r="L17" s="85">
        <f>J17-'DEZ-18'!R25</f>
        <v>0</v>
      </c>
      <c r="M17" s="16"/>
      <c r="N17" s="16"/>
    </row>
    <row r="18" spans="1:14" s="16" customFormat="1" ht="12.75" thickBot="1" x14ac:dyDescent="0.25">
      <c r="A18" s="20"/>
      <c r="B18" s="20"/>
      <c r="C18" s="21"/>
      <c r="D18" s="22"/>
      <c r="E18" s="22"/>
      <c r="F18" s="26"/>
      <c r="G18" s="26"/>
      <c r="H18" s="28"/>
      <c r="I18" s="29"/>
      <c r="J18" s="30"/>
    </row>
    <row r="19" spans="1:14" s="31" customFormat="1" ht="16.5" thickBot="1" x14ac:dyDescent="0.3">
      <c r="C19" s="82" t="s">
        <v>306</v>
      </c>
      <c r="D19" s="161">
        <f t="shared" ref="D19:I19" si="1">SUM(D6:D17)</f>
        <v>8902.2000000000007</v>
      </c>
      <c r="E19" s="162">
        <f t="shared" si="1"/>
        <v>17789</v>
      </c>
      <c r="F19" s="80">
        <f t="shared" si="1"/>
        <v>895.2</v>
      </c>
      <c r="G19" s="80">
        <f t="shared" si="1"/>
        <v>13815.365800000001</v>
      </c>
      <c r="H19" s="81">
        <f t="shared" si="1"/>
        <v>394295.1</v>
      </c>
      <c r="I19" s="81">
        <f t="shared" si="1"/>
        <v>123164.41</v>
      </c>
      <c r="J19" s="79"/>
    </row>
    <row r="20" spans="1:14" s="40" customFormat="1" ht="15.75" x14ac:dyDescent="0.25">
      <c r="C20" s="41"/>
      <c r="D20" s="288"/>
      <c r="E20" s="288"/>
      <c r="F20" s="43"/>
      <c r="G20" s="43"/>
      <c r="J20" s="86"/>
    </row>
    <row r="21" spans="1:14" s="40" customFormat="1" ht="15.75" x14ac:dyDescent="0.2">
      <c r="C21" s="41"/>
      <c r="D21" s="41"/>
      <c r="E21" s="45"/>
      <c r="F21" s="43"/>
      <c r="G21" s="43"/>
      <c r="H21" s="46"/>
      <c r="I21" s="44"/>
      <c r="J21" s="160"/>
    </row>
    <row r="22" spans="1:14" s="40" customFormat="1" ht="18.75" thickBot="1" x14ac:dyDescent="0.25">
      <c r="C22" s="41"/>
      <c r="D22" s="289"/>
      <c r="E22" s="289"/>
      <c r="F22" s="43"/>
      <c r="G22" s="43"/>
      <c r="H22" s="84" t="s">
        <v>49</v>
      </c>
      <c r="I22" s="157">
        <f>D19+E19+F19+G19+H19+I19</f>
        <v>558861.27579999994</v>
      </c>
      <c r="J22" s="158"/>
    </row>
    <row r="23" spans="1:14" ht="16.5" thickBot="1" x14ac:dyDescent="0.3">
      <c r="B23" s="2" t="s">
        <v>419</v>
      </c>
      <c r="C23" s="171"/>
      <c r="D23" s="172">
        <v>43537</v>
      </c>
      <c r="E23" s="51"/>
      <c r="J23" s="159"/>
    </row>
    <row r="24" spans="1:14" x14ac:dyDescent="0.25">
      <c r="C24" s="49"/>
      <c r="D24" s="50"/>
      <c r="E24" s="51"/>
      <c r="J24" s="88" t="s">
        <v>308</v>
      </c>
    </row>
    <row r="25" spans="1:14" ht="15.75" thickBot="1" x14ac:dyDescent="0.3">
      <c r="C25" s="49"/>
      <c r="D25" s="50"/>
      <c r="E25" s="51"/>
      <c r="J25" s="87">
        <f>I22-J6-J7-J8-J9-J10-J11-J12-J13-J14-J15-J16-J17</f>
        <v>0</v>
      </c>
    </row>
    <row r="26" spans="1:14" x14ac:dyDescent="0.25">
      <c r="B26" s="164"/>
      <c r="C26" s="165"/>
      <c r="D26" s="165"/>
      <c r="E26" s="51"/>
    </row>
    <row r="27" spans="1:14" x14ac:dyDescent="0.25">
      <c r="B27" s="164" t="s">
        <v>367</v>
      </c>
      <c r="C27" s="165"/>
      <c r="D27" s="165"/>
      <c r="E27" s="51"/>
    </row>
    <row r="28" spans="1:14" x14ac:dyDescent="0.25">
      <c r="C28" s="49"/>
      <c r="D28" s="50"/>
      <c r="E28" s="51"/>
    </row>
    <row r="29" spans="1:14" x14ac:dyDescent="0.25">
      <c r="B29" s="164" t="s">
        <v>368</v>
      </c>
      <c r="C29" s="165"/>
      <c r="D29" s="165"/>
      <c r="E29" s="166"/>
    </row>
    <row r="30" spans="1:14" x14ac:dyDescent="0.25">
      <c r="B30" t="s">
        <v>365</v>
      </c>
      <c r="C30" s="49"/>
      <c r="E30" s="51"/>
    </row>
    <row r="31" spans="1:14" x14ac:dyDescent="0.25">
      <c r="B31" t="s">
        <v>366</v>
      </c>
      <c r="C31" s="49"/>
      <c r="D31" s="50"/>
      <c r="E31" s="51"/>
    </row>
    <row r="32" spans="1:14" x14ac:dyDescent="0.25">
      <c r="C32" s="49"/>
      <c r="D32" s="50"/>
      <c r="E32" s="51"/>
    </row>
    <row r="33" spans="3:10" x14ac:dyDescent="0.25">
      <c r="C33" s="49"/>
      <c r="D33" s="50"/>
      <c r="E33" s="51"/>
    </row>
    <row r="34" spans="3:10" x14ac:dyDescent="0.25">
      <c r="C34" s="49"/>
      <c r="D34" s="50"/>
      <c r="E34" s="51"/>
    </row>
    <row r="35" spans="3:10" x14ac:dyDescent="0.25">
      <c r="C35" s="49"/>
      <c r="D35" s="50"/>
      <c r="E35" s="51"/>
    </row>
    <row r="36" spans="3:10" x14ac:dyDescent="0.25">
      <c r="C36" s="49"/>
      <c r="D36" s="50"/>
      <c r="E36" s="51"/>
    </row>
    <row r="37" spans="3:10" x14ac:dyDescent="0.25">
      <c r="C37" s="49"/>
      <c r="D37" s="50"/>
      <c r="E37" s="51"/>
      <c r="F37"/>
      <c r="G37"/>
      <c r="H37"/>
      <c r="I37"/>
      <c r="J37"/>
    </row>
    <row r="38" spans="3:10" x14ac:dyDescent="0.25">
      <c r="C38" s="49"/>
      <c r="D38" s="50"/>
      <c r="E38" s="51"/>
      <c r="F38"/>
      <c r="G38"/>
      <c r="H38"/>
      <c r="I38"/>
      <c r="J38"/>
    </row>
    <row r="39" spans="3:10" x14ac:dyDescent="0.25">
      <c r="C39" s="49"/>
      <c r="D39" s="50"/>
      <c r="E39" s="51"/>
      <c r="F39"/>
      <c r="G39"/>
      <c r="H39"/>
      <c r="I39"/>
      <c r="J39"/>
    </row>
    <row r="40" spans="3:10" x14ac:dyDescent="0.25">
      <c r="C40" s="49"/>
      <c r="D40" s="50"/>
      <c r="E40" s="51"/>
      <c r="F40"/>
      <c r="G40"/>
      <c r="H40"/>
      <c r="I40"/>
      <c r="J40"/>
    </row>
    <row r="41" spans="3:10" x14ac:dyDescent="0.25">
      <c r="C41" s="49"/>
      <c r="D41" s="50"/>
      <c r="E41" s="51"/>
      <c r="F41"/>
      <c r="G41"/>
      <c r="H41"/>
      <c r="I41"/>
      <c r="J41"/>
    </row>
    <row r="42" spans="3:10" x14ac:dyDescent="0.25">
      <c r="C42" s="49"/>
      <c r="D42" s="50"/>
      <c r="E42" s="51"/>
      <c r="F42"/>
      <c r="G42"/>
      <c r="H42"/>
      <c r="I42"/>
      <c r="J42"/>
    </row>
    <row r="43" spans="3:10" x14ac:dyDescent="0.25">
      <c r="C43" s="49"/>
      <c r="D43" s="50"/>
      <c r="E43" s="51"/>
      <c r="F43"/>
      <c r="G43"/>
      <c r="H43"/>
      <c r="I43"/>
      <c r="J43"/>
    </row>
    <row r="44" spans="3:10" x14ac:dyDescent="0.25">
      <c r="C44" s="49"/>
      <c r="D44" s="50"/>
      <c r="E44" s="51"/>
      <c r="F44"/>
      <c r="G44"/>
      <c r="H44"/>
      <c r="I44"/>
      <c r="J44"/>
    </row>
    <row r="45" spans="3:10" x14ac:dyDescent="0.25">
      <c r="C45" s="49"/>
      <c r="D45" s="50"/>
      <c r="E45" s="51"/>
      <c r="F45"/>
      <c r="G45"/>
      <c r="H45"/>
      <c r="I45"/>
      <c r="J45"/>
    </row>
    <row r="46" spans="3:10" x14ac:dyDescent="0.25">
      <c r="C46" s="49"/>
      <c r="D46" s="50"/>
      <c r="E46" s="51"/>
      <c r="F46"/>
      <c r="G46"/>
      <c r="H46"/>
      <c r="I46"/>
      <c r="J46"/>
    </row>
    <row r="47" spans="3:10" x14ac:dyDescent="0.25">
      <c r="C47" s="49"/>
      <c r="D47" s="50"/>
      <c r="E47" s="51"/>
      <c r="F47"/>
      <c r="G47"/>
      <c r="H47"/>
      <c r="I47"/>
      <c r="J47"/>
    </row>
    <row r="48" spans="3:10" x14ac:dyDescent="0.25">
      <c r="C48" s="49"/>
      <c r="D48" s="50"/>
      <c r="E48" s="51"/>
      <c r="F48"/>
      <c r="G48"/>
      <c r="H48"/>
      <c r="I48"/>
      <c r="J48"/>
    </row>
    <row r="49" spans="3:10" x14ac:dyDescent="0.25">
      <c r="C49" s="49"/>
      <c r="D49" s="50"/>
      <c r="E49" s="51"/>
      <c r="F49"/>
      <c r="G49"/>
      <c r="H49"/>
      <c r="I49"/>
      <c r="J49"/>
    </row>
    <row r="50" spans="3:10" x14ac:dyDescent="0.25">
      <c r="C50" s="49"/>
      <c r="D50" s="50"/>
      <c r="E50" s="51"/>
      <c r="F50"/>
      <c r="G50"/>
      <c r="H50"/>
      <c r="I50"/>
      <c r="J50"/>
    </row>
    <row r="51" spans="3:10" x14ac:dyDescent="0.25">
      <c r="C51" s="49"/>
      <c r="D51" s="50"/>
      <c r="E51" s="51"/>
      <c r="F51"/>
      <c r="G51"/>
      <c r="H51"/>
      <c r="I51"/>
      <c r="J51"/>
    </row>
    <row r="52" spans="3:10" x14ac:dyDescent="0.25">
      <c r="C52" s="49"/>
      <c r="D52" s="50"/>
      <c r="E52" s="51"/>
      <c r="F52"/>
      <c r="G52"/>
      <c r="H52"/>
      <c r="I52"/>
      <c r="J52"/>
    </row>
    <row r="53" spans="3:10" x14ac:dyDescent="0.25">
      <c r="C53" s="49"/>
      <c r="D53" s="50"/>
      <c r="E53" s="51"/>
      <c r="F53"/>
      <c r="G53"/>
      <c r="H53"/>
      <c r="I53"/>
      <c r="J53"/>
    </row>
    <row r="54" spans="3:10" x14ac:dyDescent="0.25">
      <c r="C54" s="49"/>
      <c r="D54" s="50"/>
      <c r="E54" s="51"/>
      <c r="F54"/>
      <c r="G54"/>
      <c r="H54"/>
      <c r="I54"/>
      <c r="J54"/>
    </row>
    <row r="55" spans="3:10" x14ac:dyDescent="0.25">
      <c r="C55" s="49"/>
      <c r="D55" s="50"/>
      <c r="E55" s="51"/>
      <c r="F55"/>
      <c r="G55"/>
      <c r="H55"/>
      <c r="I55"/>
      <c r="J55"/>
    </row>
    <row r="56" spans="3:10" x14ac:dyDescent="0.25">
      <c r="C56" s="49"/>
      <c r="D56" s="50"/>
      <c r="E56" s="51"/>
      <c r="F56"/>
      <c r="G56"/>
      <c r="H56"/>
      <c r="I56"/>
      <c r="J56"/>
    </row>
    <row r="57" spans="3:10" x14ac:dyDescent="0.25">
      <c r="C57" s="49"/>
      <c r="D57" s="50"/>
      <c r="E57" s="51"/>
      <c r="F57"/>
      <c r="G57"/>
      <c r="H57"/>
      <c r="I57"/>
      <c r="J57"/>
    </row>
    <row r="58" spans="3:10" x14ac:dyDescent="0.25">
      <c r="C58" s="49"/>
      <c r="D58" s="50"/>
      <c r="E58" s="51"/>
      <c r="F58"/>
      <c r="G58"/>
      <c r="H58"/>
      <c r="I58"/>
      <c r="J58"/>
    </row>
    <row r="59" spans="3:10" x14ac:dyDescent="0.25">
      <c r="C59" s="49"/>
      <c r="D59" s="50"/>
      <c r="E59" s="51"/>
      <c r="F59"/>
      <c r="G59"/>
      <c r="H59"/>
      <c r="I59"/>
      <c r="J59"/>
    </row>
    <row r="60" spans="3:10" x14ac:dyDescent="0.25">
      <c r="C60" s="49"/>
      <c r="D60" s="50"/>
      <c r="E60" s="51"/>
      <c r="F60"/>
      <c r="G60"/>
      <c r="H60"/>
      <c r="I60"/>
      <c r="J60"/>
    </row>
    <row r="61" spans="3:10" x14ac:dyDescent="0.25">
      <c r="C61" s="49"/>
      <c r="D61" s="50"/>
      <c r="E61" s="51"/>
      <c r="F61"/>
      <c r="G61"/>
      <c r="H61"/>
      <c r="I61"/>
      <c r="J61"/>
    </row>
    <row r="62" spans="3:10" x14ac:dyDescent="0.25">
      <c r="C62" s="49"/>
      <c r="D62" s="50"/>
      <c r="E62" s="51"/>
      <c r="F62"/>
      <c r="G62"/>
      <c r="H62"/>
      <c r="I62"/>
      <c r="J62"/>
    </row>
    <row r="63" spans="3:10" x14ac:dyDescent="0.25">
      <c r="C63" s="49"/>
      <c r="D63" s="50"/>
      <c r="E63" s="51"/>
      <c r="F63"/>
      <c r="G63"/>
      <c r="H63"/>
      <c r="I63"/>
      <c r="J63"/>
    </row>
    <row r="64" spans="3:10" x14ac:dyDescent="0.25">
      <c r="C64" s="49"/>
      <c r="D64" s="50"/>
      <c r="E64" s="51"/>
      <c r="F64"/>
      <c r="G64"/>
      <c r="H64"/>
      <c r="I64"/>
      <c r="J64"/>
    </row>
    <row r="65" spans="3:10" x14ac:dyDescent="0.25">
      <c r="C65" s="49"/>
      <c r="D65" s="50"/>
      <c r="E65" s="51"/>
      <c r="F65"/>
      <c r="G65"/>
      <c r="H65"/>
      <c r="I65"/>
      <c r="J65"/>
    </row>
    <row r="66" spans="3:10" x14ac:dyDescent="0.25">
      <c r="C66" s="49"/>
      <c r="D66" s="50"/>
      <c r="E66" s="51"/>
      <c r="F66"/>
      <c r="G66"/>
      <c r="H66"/>
      <c r="I66"/>
      <c r="J66"/>
    </row>
    <row r="67" spans="3:10" x14ac:dyDescent="0.25">
      <c r="C67" s="49"/>
      <c r="D67" s="50"/>
      <c r="E67" s="51"/>
      <c r="F67"/>
      <c r="G67"/>
      <c r="H67"/>
      <c r="I67"/>
      <c r="J67"/>
    </row>
    <row r="68" spans="3:10" x14ac:dyDescent="0.25">
      <c r="C68" s="49"/>
      <c r="D68" s="50"/>
      <c r="E68" s="51"/>
      <c r="F68"/>
      <c r="G68"/>
      <c r="H68"/>
      <c r="I68"/>
      <c r="J68"/>
    </row>
    <row r="69" spans="3:10" x14ac:dyDescent="0.25">
      <c r="C69" s="49"/>
      <c r="D69" s="50"/>
      <c r="E69" s="51"/>
      <c r="F69"/>
      <c r="G69"/>
      <c r="H69"/>
      <c r="I69"/>
      <c r="J69"/>
    </row>
    <row r="70" spans="3:10" x14ac:dyDescent="0.25">
      <c r="C70" s="49"/>
      <c r="D70" s="50"/>
      <c r="E70" s="51"/>
      <c r="F70"/>
      <c r="G70"/>
      <c r="H70"/>
      <c r="I70"/>
      <c r="J70"/>
    </row>
    <row r="71" spans="3:10" x14ac:dyDescent="0.25">
      <c r="C71" s="49"/>
      <c r="D71" s="50"/>
      <c r="E71" s="51"/>
      <c r="F71"/>
      <c r="G71"/>
      <c r="H71"/>
      <c r="I71"/>
      <c r="J71"/>
    </row>
    <row r="72" spans="3:10" x14ac:dyDescent="0.25">
      <c r="C72" s="49"/>
      <c r="D72" s="50"/>
      <c r="E72" s="51"/>
      <c r="F72"/>
      <c r="G72"/>
      <c r="H72"/>
      <c r="I72"/>
      <c r="J72"/>
    </row>
    <row r="73" spans="3:10" x14ac:dyDescent="0.25">
      <c r="C73" s="49"/>
      <c r="D73" s="50"/>
      <c r="E73" s="51"/>
      <c r="F73"/>
      <c r="G73"/>
      <c r="H73"/>
      <c r="I73"/>
      <c r="J73"/>
    </row>
    <row r="74" spans="3:10" x14ac:dyDescent="0.25">
      <c r="C74" s="49"/>
      <c r="D74" s="50"/>
      <c r="E74" s="51"/>
      <c r="F74"/>
      <c r="G74"/>
      <c r="H74"/>
      <c r="I74"/>
      <c r="J74"/>
    </row>
    <row r="75" spans="3:10" x14ac:dyDescent="0.25">
      <c r="C75" s="49"/>
      <c r="D75" s="50"/>
      <c r="E75" s="51"/>
      <c r="F75"/>
      <c r="G75"/>
      <c r="H75"/>
      <c r="I75"/>
      <c r="J75"/>
    </row>
    <row r="76" spans="3:10" x14ac:dyDescent="0.25">
      <c r="C76" s="49"/>
      <c r="D76" s="50"/>
      <c r="E76" s="51"/>
      <c r="F76"/>
      <c r="G76"/>
      <c r="H76"/>
      <c r="I76"/>
      <c r="J76"/>
    </row>
    <row r="77" spans="3:10" x14ac:dyDescent="0.25">
      <c r="C77" s="49"/>
      <c r="D77" s="50"/>
      <c r="E77" s="51"/>
      <c r="F77"/>
      <c r="G77"/>
      <c r="H77"/>
      <c r="I77"/>
      <c r="J77"/>
    </row>
    <row r="78" spans="3:10" x14ac:dyDescent="0.25">
      <c r="C78" s="49"/>
      <c r="D78" s="50"/>
      <c r="E78" s="51"/>
      <c r="F78"/>
      <c r="G78"/>
      <c r="H78"/>
      <c r="I78"/>
      <c r="J78"/>
    </row>
    <row r="79" spans="3:10" x14ac:dyDescent="0.25">
      <c r="C79" s="49"/>
      <c r="D79" s="50"/>
      <c r="E79" s="51"/>
      <c r="F79"/>
      <c r="G79"/>
      <c r="H79"/>
      <c r="I79"/>
      <c r="J79"/>
    </row>
    <row r="80" spans="3:10" x14ac:dyDescent="0.25">
      <c r="C80" s="49"/>
      <c r="D80" s="50"/>
      <c r="E80" s="51"/>
      <c r="F80"/>
      <c r="G80"/>
      <c r="H80"/>
      <c r="I80"/>
      <c r="J80"/>
    </row>
    <row r="81" spans="3:10" x14ac:dyDescent="0.25">
      <c r="C81" s="49"/>
      <c r="D81" s="50"/>
      <c r="E81" s="51"/>
      <c r="F81"/>
      <c r="G81"/>
      <c r="H81"/>
      <c r="I81"/>
      <c r="J81"/>
    </row>
    <row r="82" spans="3:10" x14ac:dyDescent="0.25">
      <c r="C82" s="49"/>
      <c r="D82" s="50"/>
      <c r="E82" s="51"/>
      <c r="F82"/>
      <c r="G82"/>
      <c r="H82"/>
      <c r="I82"/>
      <c r="J82"/>
    </row>
    <row r="83" spans="3:10" x14ac:dyDescent="0.25">
      <c r="C83" s="49"/>
      <c r="D83" s="50"/>
      <c r="E83" s="51"/>
      <c r="F83"/>
      <c r="G83"/>
      <c r="H83"/>
      <c r="I83"/>
      <c r="J83"/>
    </row>
    <row r="84" spans="3:10" x14ac:dyDescent="0.25">
      <c r="C84" s="49"/>
      <c r="D84" s="50"/>
      <c r="E84" s="51"/>
      <c r="F84"/>
      <c r="G84"/>
      <c r="H84"/>
      <c r="I84"/>
      <c r="J84"/>
    </row>
    <row r="85" spans="3:10" x14ac:dyDescent="0.25">
      <c r="C85" s="49"/>
      <c r="D85" s="50"/>
      <c r="E85" s="51"/>
      <c r="F85"/>
      <c r="G85"/>
      <c r="H85"/>
      <c r="I85"/>
      <c r="J85"/>
    </row>
    <row r="86" spans="3:10" x14ac:dyDescent="0.25">
      <c r="C86" s="49"/>
      <c r="D86" s="50"/>
      <c r="E86" s="51"/>
      <c r="F86"/>
      <c r="G86"/>
      <c r="H86"/>
      <c r="I86"/>
      <c r="J86"/>
    </row>
    <row r="87" spans="3:10" x14ac:dyDescent="0.25">
      <c r="C87" s="49"/>
      <c r="D87" s="50"/>
      <c r="E87" s="51"/>
      <c r="F87"/>
      <c r="G87"/>
      <c r="H87"/>
      <c r="I87"/>
      <c r="J87"/>
    </row>
    <row r="88" spans="3:10" x14ac:dyDescent="0.25">
      <c r="C88" s="49"/>
      <c r="D88" s="50"/>
      <c r="E88" s="51"/>
      <c r="F88"/>
      <c r="G88"/>
      <c r="H88"/>
      <c r="I88"/>
      <c r="J88"/>
    </row>
    <row r="89" spans="3:10" x14ac:dyDescent="0.25">
      <c r="C89" s="49"/>
      <c r="D89" s="50"/>
      <c r="E89" s="51"/>
      <c r="F89"/>
      <c r="G89"/>
      <c r="H89"/>
      <c r="I89"/>
      <c r="J89"/>
    </row>
    <row r="90" spans="3:10" x14ac:dyDescent="0.25">
      <c r="C90" s="49"/>
      <c r="D90" s="50"/>
      <c r="E90" s="51"/>
      <c r="F90"/>
      <c r="G90"/>
      <c r="H90"/>
      <c r="I90"/>
      <c r="J90"/>
    </row>
    <row r="91" spans="3:10" x14ac:dyDescent="0.25">
      <c r="C91" s="49"/>
      <c r="D91" s="50"/>
      <c r="E91" s="51"/>
      <c r="F91"/>
      <c r="G91"/>
      <c r="H91"/>
      <c r="I91"/>
      <c r="J91"/>
    </row>
    <row r="92" spans="3:10" x14ac:dyDescent="0.25">
      <c r="C92" s="49"/>
      <c r="D92" s="50"/>
      <c r="E92" s="51"/>
      <c r="F92"/>
      <c r="G92"/>
      <c r="H92"/>
      <c r="I92"/>
      <c r="J92"/>
    </row>
    <row r="93" spans="3:10" x14ac:dyDescent="0.25">
      <c r="C93" s="49"/>
      <c r="D93" s="50"/>
      <c r="E93" s="51"/>
      <c r="F93"/>
      <c r="G93"/>
      <c r="H93"/>
      <c r="I93"/>
      <c r="J93"/>
    </row>
    <row r="94" spans="3:10" x14ac:dyDescent="0.25">
      <c r="C94" s="49"/>
      <c r="D94" s="50"/>
      <c r="E94" s="51"/>
      <c r="F94"/>
      <c r="G94"/>
      <c r="H94"/>
      <c r="I94"/>
      <c r="J94"/>
    </row>
    <row r="95" spans="3:10" x14ac:dyDescent="0.25">
      <c r="C95" s="49"/>
      <c r="D95" s="50"/>
      <c r="E95" s="51"/>
      <c r="F95"/>
      <c r="G95"/>
      <c r="H95"/>
      <c r="I95"/>
      <c r="J95"/>
    </row>
    <row r="96" spans="3:10" x14ac:dyDescent="0.25">
      <c r="C96" s="49"/>
      <c r="D96" s="50"/>
      <c r="E96" s="51"/>
      <c r="F96"/>
      <c r="G96"/>
      <c r="H96"/>
      <c r="I96"/>
      <c r="J96"/>
    </row>
    <row r="97" spans="3:10" x14ac:dyDescent="0.25">
      <c r="C97" s="49"/>
      <c r="D97" s="50"/>
      <c r="E97" s="51"/>
      <c r="F97"/>
      <c r="G97"/>
      <c r="H97"/>
      <c r="I97"/>
      <c r="J97"/>
    </row>
    <row r="98" spans="3:10" x14ac:dyDescent="0.25">
      <c r="C98" s="49"/>
      <c r="D98" s="50"/>
      <c r="E98" s="51"/>
      <c r="F98"/>
      <c r="G98"/>
      <c r="H98"/>
      <c r="I98"/>
      <c r="J98"/>
    </row>
    <row r="99" spans="3:10" x14ac:dyDescent="0.25">
      <c r="C99" s="49"/>
      <c r="D99" s="50"/>
      <c r="E99" s="51"/>
      <c r="F99"/>
      <c r="G99"/>
      <c r="H99"/>
      <c r="I99"/>
      <c r="J99"/>
    </row>
    <row r="100" spans="3:10" x14ac:dyDescent="0.25">
      <c r="C100" s="49"/>
      <c r="D100" s="50"/>
      <c r="E100" s="51"/>
      <c r="F100"/>
      <c r="G100"/>
      <c r="H100"/>
      <c r="I100"/>
      <c r="J100"/>
    </row>
  </sheetData>
  <mergeCells count="5">
    <mergeCell ref="A2:J2"/>
    <mergeCell ref="D20:E20"/>
    <mergeCell ref="D22:E22"/>
    <mergeCell ref="D4:F4"/>
    <mergeCell ref="H4:I4"/>
  </mergeCells>
  <pageMargins left="0.511811024" right="0.511811024" top="0.78740157499999996" bottom="0.78740157499999996" header="0.31496062000000002" footer="0.31496062000000002"/>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0"/>
  <dimension ref="B1:AJ107"/>
  <sheetViews>
    <sheetView workbookViewId="0">
      <selection activeCell="G27" sqref="G27"/>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0" width="9.140625" style="3"/>
    <col min="11" max="11" width="9.7109375" style="3" bestFit="1" customWidth="1"/>
    <col min="12" max="14" width="14.14062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140625" customWidth="1"/>
    <col min="254" max="254" width="13.140625" customWidth="1"/>
    <col min="255" max="255" width="8.140625" customWidth="1"/>
    <col min="256" max="256" width="10.85546875" customWidth="1"/>
    <col min="257" max="257" width="38.85546875" customWidth="1"/>
    <col min="258" max="258" width="25.5703125" customWidth="1"/>
    <col min="262" max="262" width="44.85546875" customWidth="1"/>
    <col min="263" max="264" width="14.14062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140625" customWidth="1"/>
    <col min="510" max="510" width="13.140625" customWidth="1"/>
    <col min="511" max="511" width="8.140625" customWidth="1"/>
    <col min="512" max="512" width="10.85546875" customWidth="1"/>
    <col min="513" max="513" width="38.85546875" customWidth="1"/>
    <col min="514" max="514" width="25.5703125" customWidth="1"/>
    <col min="518" max="518" width="44.85546875" customWidth="1"/>
    <col min="519" max="520" width="14.14062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140625" customWidth="1"/>
    <col min="766" max="766" width="13.140625" customWidth="1"/>
    <col min="767" max="767" width="8.140625" customWidth="1"/>
    <col min="768" max="768" width="10.85546875" customWidth="1"/>
    <col min="769" max="769" width="38.85546875" customWidth="1"/>
    <col min="770" max="770" width="25.5703125" customWidth="1"/>
    <col min="774" max="774" width="44.85546875" customWidth="1"/>
    <col min="775" max="776" width="14.14062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140625" customWidth="1"/>
    <col min="1022" max="1022" width="13.140625" customWidth="1"/>
    <col min="1023" max="1023" width="8.140625" customWidth="1"/>
    <col min="1024" max="1024" width="10.85546875" customWidth="1"/>
    <col min="1025" max="1025" width="38.85546875" customWidth="1"/>
    <col min="1026" max="1026" width="25.5703125" customWidth="1"/>
    <col min="1030" max="1030" width="44.85546875" customWidth="1"/>
    <col min="1031" max="1032" width="14.14062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140625" customWidth="1"/>
    <col min="1278" max="1278" width="13.140625" customWidth="1"/>
    <col min="1279" max="1279" width="8.140625" customWidth="1"/>
    <col min="1280" max="1280" width="10.85546875" customWidth="1"/>
    <col min="1281" max="1281" width="38.85546875" customWidth="1"/>
    <col min="1282" max="1282" width="25.5703125" customWidth="1"/>
    <col min="1286" max="1286" width="44.85546875" customWidth="1"/>
    <col min="1287" max="1288" width="14.14062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140625" customWidth="1"/>
    <col min="1534" max="1534" width="13.140625" customWidth="1"/>
    <col min="1535" max="1535" width="8.140625" customWidth="1"/>
    <col min="1536" max="1536" width="10.85546875" customWidth="1"/>
    <col min="1537" max="1537" width="38.85546875" customWidth="1"/>
    <col min="1538" max="1538" width="25.5703125" customWidth="1"/>
    <col min="1542" max="1542" width="44.85546875" customWidth="1"/>
    <col min="1543" max="1544" width="14.14062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140625" customWidth="1"/>
    <col min="1790" max="1790" width="13.140625" customWidth="1"/>
    <col min="1791" max="1791" width="8.140625" customWidth="1"/>
    <col min="1792" max="1792" width="10.85546875" customWidth="1"/>
    <col min="1793" max="1793" width="38.85546875" customWidth="1"/>
    <col min="1794" max="1794" width="25.5703125" customWidth="1"/>
    <col min="1798" max="1798" width="44.85546875" customWidth="1"/>
    <col min="1799" max="1800" width="14.14062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140625" customWidth="1"/>
    <col min="2046" max="2046" width="13.140625" customWidth="1"/>
    <col min="2047" max="2047" width="8.140625" customWidth="1"/>
    <col min="2048" max="2048" width="10.85546875" customWidth="1"/>
    <col min="2049" max="2049" width="38.85546875" customWidth="1"/>
    <col min="2050" max="2050" width="25.5703125" customWidth="1"/>
    <col min="2054" max="2054" width="44.85546875" customWidth="1"/>
    <col min="2055" max="2056" width="14.14062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140625" customWidth="1"/>
    <col min="2302" max="2302" width="13.140625" customWidth="1"/>
    <col min="2303" max="2303" width="8.140625" customWidth="1"/>
    <col min="2304" max="2304" width="10.85546875" customWidth="1"/>
    <col min="2305" max="2305" width="38.85546875" customWidth="1"/>
    <col min="2306" max="2306" width="25.5703125" customWidth="1"/>
    <col min="2310" max="2310" width="44.85546875" customWidth="1"/>
    <col min="2311" max="2312" width="14.14062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140625" customWidth="1"/>
    <col min="2558" max="2558" width="13.140625" customWidth="1"/>
    <col min="2559" max="2559" width="8.140625" customWidth="1"/>
    <col min="2560" max="2560" width="10.85546875" customWidth="1"/>
    <col min="2561" max="2561" width="38.85546875" customWidth="1"/>
    <col min="2562" max="2562" width="25.5703125" customWidth="1"/>
    <col min="2566" max="2566" width="44.85546875" customWidth="1"/>
    <col min="2567" max="2568" width="14.14062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140625" customWidth="1"/>
    <col min="2814" max="2814" width="13.140625" customWidth="1"/>
    <col min="2815" max="2815" width="8.140625" customWidth="1"/>
    <col min="2816" max="2816" width="10.85546875" customWidth="1"/>
    <col min="2817" max="2817" width="38.85546875" customWidth="1"/>
    <col min="2818" max="2818" width="25.5703125" customWidth="1"/>
    <col min="2822" max="2822" width="44.85546875" customWidth="1"/>
    <col min="2823" max="2824" width="14.14062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140625" customWidth="1"/>
    <col min="3070" max="3070" width="13.140625" customWidth="1"/>
    <col min="3071" max="3071" width="8.140625" customWidth="1"/>
    <col min="3072" max="3072" width="10.85546875" customWidth="1"/>
    <col min="3073" max="3073" width="38.85546875" customWidth="1"/>
    <col min="3074" max="3074" width="25.5703125" customWidth="1"/>
    <col min="3078" max="3078" width="44.85546875" customWidth="1"/>
    <col min="3079" max="3080" width="14.14062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140625" customWidth="1"/>
    <col min="3326" max="3326" width="13.140625" customWidth="1"/>
    <col min="3327" max="3327" width="8.140625" customWidth="1"/>
    <col min="3328" max="3328" width="10.85546875" customWidth="1"/>
    <col min="3329" max="3329" width="38.85546875" customWidth="1"/>
    <col min="3330" max="3330" width="25.5703125" customWidth="1"/>
    <col min="3334" max="3334" width="44.85546875" customWidth="1"/>
    <col min="3335" max="3336" width="14.14062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140625" customWidth="1"/>
    <col min="3582" max="3582" width="13.140625" customWidth="1"/>
    <col min="3583" max="3583" width="8.140625" customWidth="1"/>
    <col min="3584" max="3584" width="10.85546875" customWidth="1"/>
    <col min="3585" max="3585" width="38.85546875" customWidth="1"/>
    <col min="3586" max="3586" width="25.5703125" customWidth="1"/>
    <col min="3590" max="3590" width="44.85546875" customWidth="1"/>
    <col min="3591" max="3592" width="14.14062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140625" customWidth="1"/>
    <col min="3838" max="3838" width="13.140625" customWidth="1"/>
    <col min="3839" max="3839" width="8.140625" customWidth="1"/>
    <col min="3840" max="3840" width="10.85546875" customWidth="1"/>
    <col min="3841" max="3841" width="38.85546875" customWidth="1"/>
    <col min="3842" max="3842" width="25.5703125" customWidth="1"/>
    <col min="3846" max="3846" width="44.85546875" customWidth="1"/>
    <col min="3847" max="3848" width="14.14062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140625" customWidth="1"/>
    <col min="4094" max="4094" width="13.140625" customWidth="1"/>
    <col min="4095" max="4095" width="8.140625" customWidth="1"/>
    <col min="4096" max="4096" width="10.85546875" customWidth="1"/>
    <col min="4097" max="4097" width="38.85546875" customWidth="1"/>
    <col min="4098" max="4098" width="25.5703125" customWidth="1"/>
    <col min="4102" max="4102" width="44.85546875" customWidth="1"/>
    <col min="4103" max="4104" width="14.14062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140625" customWidth="1"/>
    <col min="4350" max="4350" width="13.140625" customWidth="1"/>
    <col min="4351" max="4351" width="8.140625" customWidth="1"/>
    <col min="4352" max="4352" width="10.85546875" customWidth="1"/>
    <col min="4353" max="4353" width="38.85546875" customWidth="1"/>
    <col min="4354" max="4354" width="25.5703125" customWidth="1"/>
    <col min="4358" max="4358" width="44.85546875" customWidth="1"/>
    <col min="4359" max="4360" width="14.14062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140625" customWidth="1"/>
    <col min="4606" max="4606" width="13.140625" customWidth="1"/>
    <col min="4607" max="4607" width="8.140625" customWidth="1"/>
    <col min="4608" max="4608" width="10.85546875" customWidth="1"/>
    <col min="4609" max="4609" width="38.85546875" customWidth="1"/>
    <col min="4610" max="4610" width="25.5703125" customWidth="1"/>
    <col min="4614" max="4614" width="44.85546875" customWidth="1"/>
    <col min="4615" max="4616" width="14.14062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140625" customWidth="1"/>
    <col min="4862" max="4862" width="13.140625" customWidth="1"/>
    <col min="4863" max="4863" width="8.140625" customWidth="1"/>
    <col min="4864" max="4864" width="10.85546875" customWidth="1"/>
    <col min="4865" max="4865" width="38.85546875" customWidth="1"/>
    <col min="4866" max="4866" width="25.5703125" customWidth="1"/>
    <col min="4870" max="4870" width="44.85546875" customWidth="1"/>
    <col min="4871" max="4872" width="14.14062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140625" customWidth="1"/>
    <col min="5118" max="5118" width="13.140625" customWidth="1"/>
    <col min="5119" max="5119" width="8.140625" customWidth="1"/>
    <col min="5120" max="5120" width="10.85546875" customWidth="1"/>
    <col min="5121" max="5121" width="38.85546875" customWidth="1"/>
    <col min="5122" max="5122" width="25.5703125" customWidth="1"/>
    <col min="5126" max="5126" width="44.85546875" customWidth="1"/>
    <col min="5127" max="5128" width="14.14062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140625" customWidth="1"/>
    <col min="5374" max="5374" width="13.140625" customWidth="1"/>
    <col min="5375" max="5375" width="8.140625" customWidth="1"/>
    <col min="5376" max="5376" width="10.85546875" customWidth="1"/>
    <col min="5377" max="5377" width="38.85546875" customWidth="1"/>
    <col min="5378" max="5378" width="25.5703125" customWidth="1"/>
    <col min="5382" max="5382" width="44.85546875" customWidth="1"/>
    <col min="5383" max="5384" width="14.14062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140625" customWidth="1"/>
    <col min="5630" max="5630" width="13.140625" customWidth="1"/>
    <col min="5631" max="5631" width="8.140625" customWidth="1"/>
    <col min="5632" max="5632" width="10.85546875" customWidth="1"/>
    <col min="5633" max="5633" width="38.85546875" customWidth="1"/>
    <col min="5634" max="5634" width="25.5703125" customWidth="1"/>
    <col min="5638" max="5638" width="44.85546875" customWidth="1"/>
    <col min="5639" max="5640" width="14.14062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140625" customWidth="1"/>
    <col min="5886" max="5886" width="13.140625" customWidth="1"/>
    <col min="5887" max="5887" width="8.140625" customWidth="1"/>
    <col min="5888" max="5888" width="10.85546875" customWidth="1"/>
    <col min="5889" max="5889" width="38.85546875" customWidth="1"/>
    <col min="5890" max="5890" width="25.5703125" customWidth="1"/>
    <col min="5894" max="5894" width="44.85546875" customWidth="1"/>
    <col min="5895" max="5896" width="14.14062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140625" customWidth="1"/>
    <col min="6142" max="6142" width="13.140625" customWidth="1"/>
    <col min="6143" max="6143" width="8.140625" customWidth="1"/>
    <col min="6144" max="6144" width="10.85546875" customWidth="1"/>
    <col min="6145" max="6145" width="38.85546875" customWidth="1"/>
    <col min="6146" max="6146" width="25.5703125" customWidth="1"/>
    <col min="6150" max="6150" width="44.85546875" customWidth="1"/>
    <col min="6151" max="6152" width="14.14062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140625" customWidth="1"/>
    <col min="6398" max="6398" width="13.140625" customWidth="1"/>
    <col min="6399" max="6399" width="8.140625" customWidth="1"/>
    <col min="6400" max="6400" width="10.85546875" customWidth="1"/>
    <col min="6401" max="6401" width="38.85546875" customWidth="1"/>
    <col min="6402" max="6402" width="25.5703125" customWidth="1"/>
    <col min="6406" max="6406" width="44.85546875" customWidth="1"/>
    <col min="6407" max="6408" width="14.14062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140625" customWidth="1"/>
    <col min="6654" max="6654" width="13.140625" customWidth="1"/>
    <col min="6655" max="6655" width="8.140625" customWidth="1"/>
    <col min="6656" max="6656" width="10.85546875" customWidth="1"/>
    <col min="6657" max="6657" width="38.85546875" customWidth="1"/>
    <col min="6658" max="6658" width="25.5703125" customWidth="1"/>
    <col min="6662" max="6662" width="44.85546875" customWidth="1"/>
    <col min="6663" max="6664" width="14.14062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140625" customWidth="1"/>
    <col min="6910" max="6910" width="13.140625" customWidth="1"/>
    <col min="6911" max="6911" width="8.140625" customWidth="1"/>
    <col min="6912" max="6912" width="10.85546875" customWidth="1"/>
    <col min="6913" max="6913" width="38.85546875" customWidth="1"/>
    <col min="6914" max="6914" width="25.5703125" customWidth="1"/>
    <col min="6918" max="6918" width="44.85546875" customWidth="1"/>
    <col min="6919" max="6920" width="14.14062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140625" customWidth="1"/>
    <col min="7166" max="7166" width="13.140625" customWidth="1"/>
    <col min="7167" max="7167" width="8.140625" customWidth="1"/>
    <col min="7168" max="7168" width="10.85546875" customWidth="1"/>
    <col min="7169" max="7169" width="38.85546875" customWidth="1"/>
    <col min="7170" max="7170" width="25.5703125" customWidth="1"/>
    <col min="7174" max="7174" width="44.85546875" customWidth="1"/>
    <col min="7175" max="7176" width="14.14062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140625" customWidth="1"/>
    <col min="7422" max="7422" width="13.140625" customWidth="1"/>
    <col min="7423" max="7423" width="8.140625" customWidth="1"/>
    <col min="7424" max="7424" width="10.85546875" customWidth="1"/>
    <col min="7425" max="7425" width="38.85546875" customWidth="1"/>
    <col min="7426" max="7426" width="25.5703125" customWidth="1"/>
    <col min="7430" max="7430" width="44.85546875" customWidth="1"/>
    <col min="7431" max="7432" width="14.14062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140625" customWidth="1"/>
    <col min="7678" max="7678" width="13.140625" customWidth="1"/>
    <col min="7679" max="7679" width="8.140625" customWidth="1"/>
    <col min="7680" max="7680" width="10.85546875" customWidth="1"/>
    <col min="7681" max="7681" width="38.85546875" customWidth="1"/>
    <col min="7682" max="7682" width="25.5703125" customWidth="1"/>
    <col min="7686" max="7686" width="44.85546875" customWidth="1"/>
    <col min="7687" max="7688" width="14.14062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140625" customWidth="1"/>
    <col min="7934" max="7934" width="13.140625" customWidth="1"/>
    <col min="7935" max="7935" width="8.140625" customWidth="1"/>
    <col min="7936" max="7936" width="10.85546875" customWidth="1"/>
    <col min="7937" max="7937" width="38.85546875" customWidth="1"/>
    <col min="7938" max="7938" width="25.5703125" customWidth="1"/>
    <col min="7942" max="7942" width="44.85546875" customWidth="1"/>
    <col min="7943" max="7944" width="14.14062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140625" customWidth="1"/>
    <col min="8190" max="8190" width="13.140625" customWidth="1"/>
    <col min="8191" max="8191" width="8.140625" customWidth="1"/>
    <col min="8192" max="8192" width="10.85546875" customWidth="1"/>
    <col min="8193" max="8193" width="38.85546875" customWidth="1"/>
    <col min="8194" max="8194" width="25.5703125" customWidth="1"/>
    <col min="8198" max="8198" width="44.85546875" customWidth="1"/>
    <col min="8199" max="8200" width="14.14062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140625" customWidth="1"/>
    <col min="8446" max="8446" width="13.140625" customWidth="1"/>
    <col min="8447" max="8447" width="8.140625" customWidth="1"/>
    <col min="8448" max="8448" width="10.85546875" customWidth="1"/>
    <col min="8449" max="8449" width="38.85546875" customWidth="1"/>
    <col min="8450" max="8450" width="25.5703125" customWidth="1"/>
    <col min="8454" max="8454" width="44.85546875" customWidth="1"/>
    <col min="8455" max="8456" width="14.14062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140625" customWidth="1"/>
    <col min="8702" max="8702" width="13.140625" customWidth="1"/>
    <col min="8703" max="8703" width="8.140625" customWidth="1"/>
    <col min="8704" max="8704" width="10.85546875" customWidth="1"/>
    <col min="8705" max="8705" width="38.85546875" customWidth="1"/>
    <col min="8706" max="8706" width="25.5703125" customWidth="1"/>
    <col min="8710" max="8710" width="44.85546875" customWidth="1"/>
    <col min="8711" max="8712" width="14.14062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140625" customWidth="1"/>
    <col min="8958" max="8958" width="13.140625" customWidth="1"/>
    <col min="8959" max="8959" width="8.140625" customWidth="1"/>
    <col min="8960" max="8960" width="10.85546875" customWidth="1"/>
    <col min="8961" max="8961" width="38.85546875" customWidth="1"/>
    <col min="8962" max="8962" width="25.5703125" customWidth="1"/>
    <col min="8966" max="8966" width="44.85546875" customWidth="1"/>
    <col min="8967" max="8968" width="14.14062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140625" customWidth="1"/>
    <col min="9214" max="9214" width="13.140625" customWidth="1"/>
    <col min="9215" max="9215" width="8.140625" customWidth="1"/>
    <col min="9216" max="9216" width="10.85546875" customWidth="1"/>
    <col min="9217" max="9217" width="38.85546875" customWidth="1"/>
    <col min="9218" max="9218" width="25.5703125" customWidth="1"/>
    <col min="9222" max="9222" width="44.85546875" customWidth="1"/>
    <col min="9223" max="9224" width="14.14062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140625" customWidth="1"/>
    <col min="9470" max="9470" width="13.140625" customWidth="1"/>
    <col min="9471" max="9471" width="8.140625" customWidth="1"/>
    <col min="9472" max="9472" width="10.85546875" customWidth="1"/>
    <col min="9473" max="9473" width="38.85546875" customWidth="1"/>
    <col min="9474" max="9474" width="25.5703125" customWidth="1"/>
    <col min="9478" max="9478" width="44.85546875" customWidth="1"/>
    <col min="9479" max="9480" width="14.14062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140625" customWidth="1"/>
    <col min="9726" max="9726" width="13.140625" customWidth="1"/>
    <col min="9727" max="9727" width="8.140625" customWidth="1"/>
    <col min="9728" max="9728" width="10.85546875" customWidth="1"/>
    <col min="9729" max="9729" width="38.85546875" customWidth="1"/>
    <col min="9730" max="9730" width="25.5703125" customWidth="1"/>
    <col min="9734" max="9734" width="44.85546875" customWidth="1"/>
    <col min="9735" max="9736" width="14.14062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140625" customWidth="1"/>
    <col min="9982" max="9982" width="13.140625" customWidth="1"/>
    <col min="9983" max="9983" width="8.140625" customWidth="1"/>
    <col min="9984" max="9984" width="10.85546875" customWidth="1"/>
    <col min="9985" max="9985" width="38.85546875" customWidth="1"/>
    <col min="9986" max="9986" width="25.5703125" customWidth="1"/>
    <col min="9990" max="9990" width="44.85546875" customWidth="1"/>
    <col min="9991" max="9992" width="14.14062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140625" customWidth="1"/>
    <col min="10238" max="10238" width="13.1406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8" width="14.14062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140625" customWidth="1"/>
    <col min="10494" max="10494" width="13.1406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4" width="14.14062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140625" customWidth="1"/>
    <col min="10750" max="10750" width="13.1406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60" width="14.14062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140625" customWidth="1"/>
    <col min="11006" max="11006" width="13.1406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6" width="14.14062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140625" customWidth="1"/>
    <col min="11262" max="11262" width="13.1406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2" width="14.14062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140625" customWidth="1"/>
    <col min="11518" max="11518" width="13.1406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8" width="14.14062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140625" customWidth="1"/>
    <col min="11774" max="11774" width="13.1406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4" width="14.14062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140625" customWidth="1"/>
    <col min="12030" max="12030" width="13.1406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40" width="14.14062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140625" customWidth="1"/>
    <col min="12286" max="12286" width="13.1406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6" width="14.14062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140625" customWidth="1"/>
    <col min="12542" max="12542" width="13.1406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2" width="14.14062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140625" customWidth="1"/>
    <col min="12798" max="12798" width="13.1406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8" width="14.14062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140625" customWidth="1"/>
    <col min="13054" max="13054" width="13.1406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4" width="14.14062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140625" customWidth="1"/>
    <col min="13310" max="13310" width="13.1406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20" width="14.14062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140625" customWidth="1"/>
    <col min="13566" max="13566" width="13.1406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6" width="14.14062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140625" customWidth="1"/>
    <col min="13822" max="13822" width="13.1406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2" width="14.14062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140625" customWidth="1"/>
    <col min="14078" max="14078" width="13.1406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8" width="14.14062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140625" customWidth="1"/>
    <col min="14334" max="14334" width="13.1406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4" width="14.14062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140625" customWidth="1"/>
    <col min="14590" max="14590" width="13.1406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600" width="14.14062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140625" customWidth="1"/>
    <col min="14846" max="14846" width="13.1406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6" width="14.14062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140625" customWidth="1"/>
    <col min="15102" max="15102" width="13.1406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2" width="14.14062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140625" customWidth="1"/>
    <col min="15358" max="15358" width="13.1406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8" width="14.14062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140625" customWidth="1"/>
    <col min="15614" max="15614" width="13.1406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4" width="14.14062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140625" customWidth="1"/>
    <col min="15870" max="15870" width="13.1406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80" width="14.14062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140625" customWidth="1"/>
    <col min="16126" max="16126" width="13.1406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6" width="14.14062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1" spans="2:36" ht="24.75" customHeight="1" x14ac:dyDescent="0.25"/>
    <row r="2" spans="2:36" s="7" customFormat="1" ht="24.75" customHeight="1" thickBot="1" x14ac:dyDescent="0.3">
      <c r="B2" s="287" t="s">
        <v>665</v>
      </c>
      <c r="C2" s="287"/>
      <c r="D2" s="287"/>
      <c r="E2" s="287"/>
      <c r="F2" s="287"/>
      <c r="G2" s="287"/>
      <c r="H2" s="287"/>
      <c r="I2" s="287"/>
      <c r="J2" s="287"/>
      <c r="K2" s="287"/>
      <c r="L2" s="296"/>
      <c r="M2" s="296"/>
      <c r="N2" s="296"/>
      <c r="O2" s="296"/>
      <c r="P2" s="296"/>
      <c r="Q2" s="296"/>
      <c r="R2" s="296"/>
      <c r="S2" s="8"/>
      <c r="T2" s="8"/>
      <c r="U2" s="8"/>
      <c r="V2" s="8"/>
      <c r="W2" s="8"/>
      <c r="X2" s="8"/>
      <c r="Y2" s="8"/>
      <c r="Z2" s="8"/>
      <c r="AA2" s="8"/>
      <c r="AB2" s="8"/>
      <c r="AC2" s="8"/>
      <c r="AD2" s="8"/>
      <c r="AE2" s="8"/>
      <c r="AF2" s="8"/>
      <c r="AG2" s="8"/>
      <c r="AH2" s="8"/>
      <c r="AI2" s="8"/>
      <c r="AJ2" s="8"/>
    </row>
    <row r="3" spans="2:36" s="7" customFormat="1" ht="32.25" customHeight="1" thickBot="1" x14ac:dyDescent="0.3">
      <c r="B3" s="89"/>
      <c r="C3" s="89"/>
      <c r="D3" s="89"/>
      <c r="E3" s="241"/>
      <c r="F3" s="241"/>
      <c r="G3" s="241"/>
      <c r="H3" s="89"/>
      <c r="I3" s="89"/>
      <c r="J3" s="89"/>
      <c r="K3" s="150"/>
      <c r="L3" s="302" t="s">
        <v>310</v>
      </c>
      <c r="M3" s="303"/>
      <c r="N3" s="304"/>
      <c r="O3" s="139" t="s">
        <v>317</v>
      </c>
      <c r="P3" s="291" t="s">
        <v>318</v>
      </c>
      <c r="Q3" s="291"/>
      <c r="R3" s="292"/>
      <c r="S3" s="8"/>
      <c r="T3" s="8"/>
      <c r="U3" s="8"/>
      <c r="V3" s="8"/>
      <c r="W3" s="8"/>
      <c r="X3" s="8"/>
      <c r="Y3" s="8"/>
      <c r="Z3" s="8"/>
      <c r="AA3" s="8"/>
      <c r="AB3" s="8"/>
      <c r="AC3" s="8"/>
      <c r="AD3" s="8"/>
      <c r="AE3" s="8"/>
      <c r="AF3" s="8"/>
      <c r="AG3" s="8"/>
      <c r="AH3" s="8"/>
      <c r="AI3" s="8"/>
      <c r="AJ3" s="8"/>
    </row>
    <row r="4" spans="2:36" ht="38.25" customHeight="1" thickBot="1" x14ac:dyDescent="0.3">
      <c r="B4" s="242" t="s">
        <v>0</v>
      </c>
      <c r="C4" s="201" t="s">
        <v>466</v>
      </c>
      <c r="D4" s="202" t="s">
        <v>1</v>
      </c>
      <c r="E4" s="202" t="s">
        <v>463</v>
      </c>
      <c r="F4" s="210" t="s">
        <v>465</v>
      </c>
      <c r="G4" s="202" t="s">
        <v>464</v>
      </c>
      <c r="H4" s="243" t="s">
        <v>2</v>
      </c>
      <c r="I4" s="293" t="s">
        <v>3</v>
      </c>
      <c r="J4" s="294"/>
      <c r="K4" s="295"/>
      <c r="L4" s="269" t="s">
        <v>311</v>
      </c>
      <c r="M4" s="205" t="s">
        <v>312</v>
      </c>
      <c r="N4" s="205" t="s">
        <v>313</v>
      </c>
      <c r="O4" s="271" t="s">
        <v>311</v>
      </c>
      <c r="P4" s="272" t="s">
        <v>4</v>
      </c>
      <c r="Q4" s="209" t="s">
        <v>5</v>
      </c>
      <c r="R4" s="270" t="s">
        <v>6</v>
      </c>
    </row>
    <row r="5" spans="2:36" s="17" customFormat="1" ht="80.25" customHeight="1" x14ac:dyDescent="0.2">
      <c r="B5" s="118">
        <v>1</v>
      </c>
      <c r="C5" s="156" t="s">
        <v>326</v>
      </c>
      <c r="D5" s="120" t="s">
        <v>346</v>
      </c>
      <c r="E5" s="224" t="s">
        <v>666</v>
      </c>
      <c r="F5" s="247" t="s">
        <v>655</v>
      </c>
      <c r="G5" s="120" t="str">
        <f>UPPER(F5)</f>
        <v>VISITA AO ASSESSOR TÉCNICO DA DIRETORIA DE AUDITORIA DE ESTATAIS DO MINISTÉRIO DA TRANSPARÊNCIA E CONTROLADORIA-GERAL DA UNIÃO, PARA TRATAR DE ASSUNTOS RELACIONADOS AO NOVO REGULAMENTO DE COMPRAS DO HCPA, POR SOLICITAÇÃO DA DIRETORIA ADMINISTRATIVA.</v>
      </c>
      <c r="H5" s="120" t="s">
        <v>9</v>
      </c>
      <c r="I5" s="121">
        <v>43344</v>
      </c>
      <c r="J5" s="134">
        <v>6</v>
      </c>
      <c r="K5" s="153">
        <v>6</v>
      </c>
      <c r="L5" s="148">
        <v>0</v>
      </c>
      <c r="M5" s="148">
        <v>97</v>
      </c>
      <c r="N5" s="148">
        <v>0</v>
      </c>
      <c r="O5" s="130">
        <f>23+44+28</f>
        <v>95</v>
      </c>
      <c r="P5" s="125">
        <f>2370.56</f>
        <v>2370.56</v>
      </c>
      <c r="Q5" s="126">
        <v>0</v>
      </c>
      <c r="R5" s="127">
        <f t="shared" ref="R5:R24" si="0">L5+M5+N5+O5+P5+Q5</f>
        <v>2562.56</v>
      </c>
      <c r="S5" s="16"/>
      <c r="T5" s="16"/>
      <c r="U5" s="16"/>
      <c r="V5" s="16"/>
    </row>
    <row r="6" spans="2:36" s="17" customFormat="1" ht="25.5" customHeight="1" x14ac:dyDescent="0.2">
      <c r="B6" s="97">
        <v>2</v>
      </c>
      <c r="C6" s="57" t="s">
        <v>327</v>
      </c>
      <c r="D6" s="10" t="s">
        <v>81</v>
      </c>
      <c r="E6" s="9" t="s">
        <v>510</v>
      </c>
      <c r="F6" s="193" t="s">
        <v>658</v>
      </c>
      <c r="G6" s="9" t="str">
        <f>UPPER(F6)</f>
        <v>PARTICIPAÇÃO ENCONTRO COM AS SETORIAIS CONTÁBEIS DO GOVERNO FEDERAL</v>
      </c>
      <c r="H6" s="9" t="s">
        <v>9</v>
      </c>
      <c r="I6" s="18">
        <v>43344</v>
      </c>
      <c r="J6" s="62">
        <v>18</v>
      </c>
      <c r="K6" s="152">
        <v>20</v>
      </c>
      <c r="L6" s="58">
        <v>75</v>
      </c>
      <c r="M6" s="58">
        <v>75.05</v>
      </c>
      <c r="N6" s="58">
        <v>0</v>
      </c>
      <c r="O6" s="54">
        <f>65+61+56+52+60+55+67</f>
        <v>416</v>
      </c>
      <c r="P6" s="14">
        <f>884.17+874.49</f>
        <v>1758.6599999999999</v>
      </c>
      <c r="Q6" s="15">
        <f>662.2+108.9</f>
        <v>771.1</v>
      </c>
      <c r="R6" s="98">
        <f t="shared" si="0"/>
        <v>3095.81</v>
      </c>
      <c r="S6" s="16"/>
      <c r="T6" s="16"/>
      <c r="U6" s="16"/>
      <c r="V6" s="16"/>
    </row>
    <row r="7" spans="2:36" s="17" customFormat="1" ht="12.75" customHeight="1" x14ac:dyDescent="0.2">
      <c r="B7" s="99">
        <v>3</v>
      </c>
      <c r="C7" s="57" t="s">
        <v>328</v>
      </c>
      <c r="D7" s="10" t="s">
        <v>256</v>
      </c>
      <c r="E7" s="9" t="s">
        <v>478</v>
      </c>
      <c r="F7" s="211" t="s">
        <v>656</v>
      </c>
      <c r="G7" s="9" t="str">
        <f t="shared" ref="G7:G24" si="1">UPPER(F7)</f>
        <v>REUNIÃO DO CONSELHO DIFRETOR</v>
      </c>
      <c r="H7" s="9" t="s">
        <v>24</v>
      </c>
      <c r="I7" s="18">
        <v>43344</v>
      </c>
      <c r="J7" s="62">
        <v>17</v>
      </c>
      <c r="K7" s="152">
        <v>17</v>
      </c>
      <c r="L7" s="58">
        <v>0</v>
      </c>
      <c r="M7" s="58">
        <v>0</v>
      </c>
      <c r="N7" s="58">
        <v>0</v>
      </c>
      <c r="O7" s="54">
        <v>0</v>
      </c>
      <c r="P7" s="14">
        <f>2233.07</f>
        <v>2233.0700000000002</v>
      </c>
      <c r="Q7" s="15">
        <v>0</v>
      </c>
      <c r="R7" s="98">
        <f t="shared" si="0"/>
        <v>2233.0700000000002</v>
      </c>
      <c r="S7" s="16"/>
      <c r="T7" s="16"/>
      <c r="U7" s="16"/>
      <c r="V7" s="16"/>
    </row>
    <row r="8" spans="2:36" s="17" customFormat="1" ht="12.75" customHeight="1" x14ac:dyDescent="0.2">
      <c r="B8" s="97">
        <v>4</v>
      </c>
      <c r="C8" s="57" t="s">
        <v>329</v>
      </c>
      <c r="D8" s="10" t="s">
        <v>17</v>
      </c>
      <c r="E8" s="9" t="s">
        <v>478</v>
      </c>
      <c r="F8" s="211" t="s">
        <v>656</v>
      </c>
      <c r="G8" s="9" t="str">
        <f t="shared" si="1"/>
        <v>REUNIÃO DO CONSELHO DIFRETOR</v>
      </c>
      <c r="H8" s="9" t="s">
        <v>18</v>
      </c>
      <c r="I8" s="18">
        <v>43344</v>
      </c>
      <c r="J8" s="62">
        <v>17</v>
      </c>
      <c r="K8" s="152">
        <v>17</v>
      </c>
      <c r="L8" s="58">
        <v>0</v>
      </c>
      <c r="M8" s="58">
        <v>0</v>
      </c>
      <c r="N8" s="58">
        <v>0</v>
      </c>
      <c r="O8" s="54">
        <v>0</v>
      </c>
      <c r="P8" s="14">
        <v>953.68</v>
      </c>
      <c r="Q8" s="15">
        <v>0</v>
      </c>
      <c r="R8" s="98">
        <f t="shared" si="0"/>
        <v>953.68</v>
      </c>
      <c r="S8" s="16"/>
      <c r="T8" s="16"/>
      <c r="U8" s="16"/>
      <c r="V8" s="16"/>
    </row>
    <row r="9" spans="2:36" s="17" customFormat="1" ht="12.75" customHeight="1" x14ac:dyDescent="0.2">
      <c r="B9" s="99">
        <v>5</v>
      </c>
      <c r="C9" s="57" t="s">
        <v>330</v>
      </c>
      <c r="D9" s="10" t="s">
        <v>132</v>
      </c>
      <c r="E9" s="9" t="s">
        <v>540</v>
      </c>
      <c r="F9" s="230" t="s">
        <v>657</v>
      </c>
      <c r="G9" s="9" t="str">
        <f t="shared" si="1"/>
        <v>ASSEMBLÉIA GERAL</v>
      </c>
      <c r="H9" s="9" t="s">
        <v>24</v>
      </c>
      <c r="I9" s="18">
        <v>43344</v>
      </c>
      <c r="J9" s="62">
        <v>24</v>
      </c>
      <c r="K9" s="152">
        <v>25</v>
      </c>
      <c r="L9" s="58">
        <v>73.84</v>
      </c>
      <c r="M9" s="58">
        <v>0</v>
      </c>
      <c r="N9" s="58">
        <v>0</v>
      </c>
      <c r="O9" s="54"/>
      <c r="P9" s="14">
        <v>1884.56</v>
      </c>
      <c r="Q9" s="15">
        <f>238.7+147.95</f>
        <v>386.65</v>
      </c>
      <c r="R9" s="98">
        <f t="shared" si="0"/>
        <v>2345.0499999999997</v>
      </c>
      <c r="S9" s="16"/>
      <c r="T9" s="16"/>
      <c r="U9" s="16"/>
      <c r="V9" s="16"/>
    </row>
    <row r="10" spans="2:36" s="17" customFormat="1" ht="22.5" customHeight="1" x14ac:dyDescent="0.2">
      <c r="B10" s="97">
        <v>6</v>
      </c>
      <c r="C10" s="57" t="s">
        <v>331</v>
      </c>
      <c r="D10" s="10" t="s">
        <v>347</v>
      </c>
      <c r="E10" s="216" t="s">
        <v>667</v>
      </c>
      <c r="F10" s="248" t="s">
        <v>611</v>
      </c>
      <c r="G10" s="9" t="str">
        <f t="shared" si="1"/>
        <v>PARTIC. WORKSHOP METODOLOGIA LEAN NO HOSPITAL SIRIO LIBANÊS - SP.</v>
      </c>
      <c r="H10" s="9" t="s">
        <v>53</v>
      </c>
      <c r="I10" s="18">
        <v>43344</v>
      </c>
      <c r="J10" s="62">
        <v>14</v>
      </c>
      <c r="K10" s="152">
        <v>14</v>
      </c>
      <c r="L10" s="58">
        <v>0</v>
      </c>
      <c r="M10" s="58">
        <v>0</v>
      </c>
      <c r="N10" s="58">
        <v>0</v>
      </c>
      <c r="O10" s="54">
        <v>0</v>
      </c>
      <c r="P10" s="14">
        <f>827.68+1200.17</f>
        <v>2027.85</v>
      </c>
      <c r="Q10" s="15">
        <v>0</v>
      </c>
      <c r="R10" s="98">
        <f t="shared" si="0"/>
        <v>2027.85</v>
      </c>
      <c r="S10" s="16"/>
      <c r="T10" s="16"/>
      <c r="U10" s="16"/>
      <c r="V10" s="16"/>
    </row>
    <row r="11" spans="2:36" s="17" customFormat="1" ht="22.5" customHeight="1" x14ac:dyDescent="0.2">
      <c r="B11" s="99">
        <v>7</v>
      </c>
      <c r="C11" s="57" t="s">
        <v>332</v>
      </c>
      <c r="D11" s="10" t="s">
        <v>348</v>
      </c>
      <c r="E11" s="9" t="s">
        <v>668</v>
      </c>
      <c r="F11" s="248" t="s">
        <v>611</v>
      </c>
      <c r="G11" s="9" t="str">
        <f t="shared" si="1"/>
        <v>PARTIC. WORKSHOP METODOLOGIA LEAN NO HOSPITAL SIRIO LIBANÊS - SP.</v>
      </c>
      <c r="H11" s="9" t="s">
        <v>53</v>
      </c>
      <c r="I11" s="18">
        <v>43344</v>
      </c>
      <c r="J11" s="62">
        <v>14</v>
      </c>
      <c r="K11" s="152">
        <v>14</v>
      </c>
      <c r="L11" s="58">
        <v>0</v>
      </c>
      <c r="M11" s="58">
        <v>0</v>
      </c>
      <c r="N11" s="58">
        <v>0</v>
      </c>
      <c r="O11" s="54">
        <f>29.36+35</f>
        <v>64.36</v>
      </c>
      <c r="P11" s="14">
        <v>1577.85</v>
      </c>
      <c r="Q11" s="15">
        <v>0</v>
      </c>
      <c r="R11" s="98">
        <f t="shared" si="0"/>
        <v>1642.2099999999998</v>
      </c>
      <c r="S11" s="16"/>
      <c r="T11" s="16"/>
      <c r="U11" s="16"/>
      <c r="V11" s="16"/>
    </row>
    <row r="12" spans="2:36" s="17" customFormat="1" ht="22.5" customHeight="1" x14ac:dyDescent="0.2">
      <c r="B12" s="97">
        <v>8</v>
      </c>
      <c r="C12" s="57" t="s">
        <v>333</v>
      </c>
      <c r="D12" s="10" t="s">
        <v>349</v>
      </c>
      <c r="E12" s="216" t="s">
        <v>669</v>
      </c>
      <c r="F12" s="248" t="s">
        <v>611</v>
      </c>
      <c r="G12" s="9" t="str">
        <f t="shared" si="1"/>
        <v>PARTIC. WORKSHOP METODOLOGIA LEAN NO HOSPITAL SIRIO LIBANÊS - SP.</v>
      </c>
      <c r="H12" s="9" t="s">
        <v>53</v>
      </c>
      <c r="I12" s="18">
        <v>43344</v>
      </c>
      <c r="J12" s="62">
        <v>14</v>
      </c>
      <c r="K12" s="152">
        <v>14</v>
      </c>
      <c r="L12" s="58">
        <v>0</v>
      </c>
      <c r="M12" s="58">
        <v>0</v>
      </c>
      <c r="N12" s="58">
        <v>0</v>
      </c>
      <c r="O12" s="54">
        <v>27.28</v>
      </c>
      <c r="P12" s="14">
        <v>1577.85</v>
      </c>
      <c r="Q12" s="15">
        <v>0</v>
      </c>
      <c r="R12" s="98">
        <f t="shared" si="0"/>
        <v>1605.1299999999999</v>
      </c>
      <c r="S12" s="16"/>
      <c r="T12" s="16"/>
      <c r="U12" s="16"/>
      <c r="V12" s="16"/>
    </row>
    <row r="13" spans="2:36" s="17" customFormat="1" ht="22.5" customHeight="1" x14ac:dyDescent="0.2">
      <c r="B13" s="99">
        <v>9</v>
      </c>
      <c r="C13" s="57" t="s">
        <v>334</v>
      </c>
      <c r="D13" s="10" t="s">
        <v>350</v>
      </c>
      <c r="E13" s="216" t="s">
        <v>670</v>
      </c>
      <c r="F13" s="248" t="s">
        <v>611</v>
      </c>
      <c r="G13" s="9" t="str">
        <f t="shared" si="1"/>
        <v>PARTIC. WORKSHOP METODOLOGIA LEAN NO HOSPITAL SIRIO LIBANÊS - SP.</v>
      </c>
      <c r="H13" s="9" t="s">
        <v>53</v>
      </c>
      <c r="I13" s="18">
        <v>43344</v>
      </c>
      <c r="J13" s="62">
        <v>14</v>
      </c>
      <c r="K13" s="152">
        <v>14</v>
      </c>
      <c r="L13" s="58">
        <v>0</v>
      </c>
      <c r="M13" s="58">
        <v>0</v>
      </c>
      <c r="N13" s="58">
        <v>0</v>
      </c>
      <c r="O13" s="54">
        <f>44.5+56</f>
        <v>100.5</v>
      </c>
      <c r="P13" s="14">
        <v>1577.85</v>
      </c>
      <c r="Q13" s="15">
        <v>0</v>
      </c>
      <c r="R13" s="98">
        <f t="shared" si="0"/>
        <v>1678.35</v>
      </c>
      <c r="S13" s="16"/>
      <c r="T13" s="16"/>
      <c r="U13" s="16"/>
      <c r="V13" s="16"/>
    </row>
    <row r="14" spans="2:36" s="17" customFormat="1" ht="22.5" customHeight="1" x14ac:dyDescent="0.2">
      <c r="B14" s="97">
        <v>10</v>
      </c>
      <c r="C14" s="57" t="s">
        <v>335</v>
      </c>
      <c r="D14" s="10" t="s">
        <v>351</v>
      </c>
      <c r="E14" s="216" t="s">
        <v>671</v>
      </c>
      <c r="F14" s="248" t="s">
        <v>611</v>
      </c>
      <c r="G14" s="9" t="str">
        <f t="shared" si="1"/>
        <v>PARTIC. WORKSHOP METODOLOGIA LEAN NO HOSPITAL SIRIO LIBANÊS - SP.</v>
      </c>
      <c r="H14" s="9" t="s">
        <v>53</v>
      </c>
      <c r="I14" s="18">
        <v>43344</v>
      </c>
      <c r="J14" s="62">
        <v>14</v>
      </c>
      <c r="K14" s="152">
        <v>14</v>
      </c>
      <c r="L14" s="58">
        <v>0</v>
      </c>
      <c r="M14" s="58">
        <v>0</v>
      </c>
      <c r="N14" s="58">
        <v>0</v>
      </c>
      <c r="O14" s="54">
        <v>0</v>
      </c>
      <c r="P14" s="14">
        <f>1081.68+1200.17</f>
        <v>2281.8500000000004</v>
      </c>
      <c r="Q14" s="15">
        <v>0</v>
      </c>
      <c r="R14" s="98">
        <f t="shared" si="0"/>
        <v>2281.8500000000004</v>
      </c>
      <c r="S14" s="16"/>
      <c r="T14" s="16"/>
      <c r="U14" s="16"/>
      <c r="V14" s="16"/>
    </row>
    <row r="15" spans="2:36" s="17" customFormat="1" ht="22.5" customHeight="1" x14ac:dyDescent="0.2">
      <c r="B15" s="99">
        <v>11</v>
      </c>
      <c r="C15" s="57" t="s">
        <v>336</v>
      </c>
      <c r="D15" s="10" t="s">
        <v>352</v>
      </c>
      <c r="E15" s="9" t="s">
        <v>538</v>
      </c>
      <c r="F15" s="248" t="s">
        <v>611</v>
      </c>
      <c r="G15" s="9" t="str">
        <f t="shared" si="1"/>
        <v>PARTIC. WORKSHOP METODOLOGIA LEAN NO HOSPITAL SIRIO LIBANÊS - SP.</v>
      </c>
      <c r="H15" s="9" t="s">
        <v>53</v>
      </c>
      <c r="I15" s="18">
        <v>43344</v>
      </c>
      <c r="J15" s="62">
        <v>14</v>
      </c>
      <c r="K15" s="152">
        <v>14</v>
      </c>
      <c r="L15" s="58">
        <v>32</v>
      </c>
      <c r="M15" s="58">
        <v>0</v>
      </c>
      <c r="N15" s="58">
        <v>0</v>
      </c>
      <c r="O15" s="54">
        <f>44+55</f>
        <v>99</v>
      </c>
      <c r="P15" s="14">
        <f>827.68+1200.17</f>
        <v>2027.85</v>
      </c>
      <c r="Q15" s="15">
        <v>0</v>
      </c>
      <c r="R15" s="98">
        <f t="shared" si="0"/>
        <v>2158.85</v>
      </c>
      <c r="S15" s="16"/>
      <c r="T15" s="16"/>
      <c r="U15" s="16"/>
      <c r="V15" s="16"/>
    </row>
    <row r="16" spans="2:36" s="17" customFormat="1" ht="22.5" customHeight="1" x14ac:dyDescent="0.2">
      <c r="B16" s="97">
        <v>12</v>
      </c>
      <c r="C16" s="57" t="s">
        <v>337</v>
      </c>
      <c r="D16" s="10" t="s">
        <v>353</v>
      </c>
      <c r="E16" s="216" t="s">
        <v>672</v>
      </c>
      <c r="F16" s="248" t="s">
        <v>611</v>
      </c>
      <c r="G16" s="9" t="str">
        <f t="shared" si="1"/>
        <v>PARTIC. WORKSHOP METODOLOGIA LEAN NO HOSPITAL SIRIO LIBANÊS - SP.</v>
      </c>
      <c r="H16" s="9" t="s">
        <v>53</v>
      </c>
      <c r="I16" s="18">
        <v>43344</v>
      </c>
      <c r="J16" s="62">
        <v>14</v>
      </c>
      <c r="K16" s="152">
        <v>14</v>
      </c>
      <c r="L16" s="58">
        <v>0</v>
      </c>
      <c r="M16" s="58">
        <v>0</v>
      </c>
      <c r="N16" s="58">
        <v>0</v>
      </c>
      <c r="O16" s="54">
        <v>0</v>
      </c>
      <c r="P16" s="14">
        <f>827.68+1200.17</f>
        <v>2027.85</v>
      </c>
      <c r="Q16" s="15">
        <v>0</v>
      </c>
      <c r="R16" s="98">
        <f t="shared" si="0"/>
        <v>2027.85</v>
      </c>
      <c r="S16" s="16"/>
      <c r="T16" s="16"/>
      <c r="U16" s="16"/>
      <c r="V16" s="16"/>
    </row>
    <row r="17" spans="2:22" s="17" customFormat="1" ht="80.25" customHeight="1" x14ac:dyDescent="0.2">
      <c r="B17" s="99">
        <v>13</v>
      </c>
      <c r="C17" s="56" t="s">
        <v>338</v>
      </c>
      <c r="D17" s="10" t="s">
        <v>243</v>
      </c>
      <c r="E17" s="216" t="s">
        <v>617</v>
      </c>
      <c r="F17" s="265" t="s">
        <v>659</v>
      </c>
      <c r="G17" s="9" t="str">
        <f t="shared" si="1"/>
        <v>MINISTRAR TREINAMENTO SESAB - PROJETO AGHUSE - IMERSÃO PARA TREINAMENTO PARA IMPLANTAÇÃO DO AGHUSE - MÓDULOS CADASTRO DE COLABORADORES, PACIENTES E AMBULATÓRIO ADMINISTRATIVO, BEM COMO VALIDAR O COMPLEMENTO CADASTRAL E RETIRAR DÚVIDAS NEGOCIAIS.</v>
      </c>
      <c r="H17" s="9" t="s">
        <v>198</v>
      </c>
      <c r="I17" s="18">
        <v>43344</v>
      </c>
      <c r="J17" s="62">
        <v>16</v>
      </c>
      <c r="K17" s="152">
        <v>21</v>
      </c>
      <c r="L17" s="58">
        <v>198.47</v>
      </c>
      <c r="M17" s="58">
        <v>447.42</v>
      </c>
      <c r="N17" s="58">
        <v>0</v>
      </c>
      <c r="O17" s="54">
        <v>43</v>
      </c>
      <c r="P17" s="14">
        <v>1965.36</v>
      </c>
      <c r="Q17" s="15">
        <f>718.2+33</f>
        <v>751.2</v>
      </c>
      <c r="R17" s="98">
        <f t="shared" si="0"/>
        <v>3405.45</v>
      </c>
      <c r="S17" s="16"/>
      <c r="T17" s="16"/>
      <c r="U17" s="16"/>
      <c r="V17" s="16"/>
    </row>
    <row r="18" spans="2:22" s="17" customFormat="1" ht="26.25" customHeight="1" x14ac:dyDescent="0.2">
      <c r="B18" s="97">
        <v>14</v>
      </c>
      <c r="C18" s="56" t="s">
        <v>339</v>
      </c>
      <c r="D18" s="10" t="s">
        <v>354</v>
      </c>
      <c r="E18" s="216" t="s">
        <v>673</v>
      </c>
      <c r="F18" s="214" t="s">
        <v>660</v>
      </c>
      <c r="G18" s="9" t="str">
        <f t="shared" si="1"/>
        <v>REUNIÃO  COM A REDE INTERSETORIAL DO MUNICÍPIO DE RIO GRANDE</v>
      </c>
      <c r="H18" s="9" t="s">
        <v>355</v>
      </c>
      <c r="I18" s="18">
        <v>43344</v>
      </c>
      <c r="J18" s="62">
        <v>19</v>
      </c>
      <c r="K18" s="152">
        <v>19</v>
      </c>
      <c r="L18" s="58">
        <v>210.35</v>
      </c>
      <c r="M18" s="58">
        <v>30</v>
      </c>
      <c r="N18" s="58">
        <v>0</v>
      </c>
      <c r="O18" s="12">
        <f>51+56</f>
        <v>107</v>
      </c>
      <c r="P18" s="14">
        <v>0</v>
      </c>
      <c r="Q18" s="15">
        <v>0</v>
      </c>
      <c r="R18" s="98">
        <f t="shared" si="0"/>
        <v>347.35</v>
      </c>
      <c r="S18" s="16"/>
      <c r="T18" s="16"/>
      <c r="U18" s="16"/>
      <c r="V18" s="16"/>
    </row>
    <row r="19" spans="2:22" s="17" customFormat="1" ht="24" customHeight="1" x14ac:dyDescent="0.2">
      <c r="B19" s="99">
        <v>15</v>
      </c>
      <c r="C19" s="56" t="s">
        <v>340</v>
      </c>
      <c r="D19" s="10" t="s">
        <v>356</v>
      </c>
      <c r="E19" s="216" t="s">
        <v>674</v>
      </c>
      <c r="F19" s="214" t="s">
        <v>660</v>
      </c>
      <c r="G19" s="9" t="str">
        <f t="shared" si="1"/>
        <v>REUNIÃO  COM A REDE INTERSETORIAL DO MUNICÍPIO DE RIO GRANDE</v>
      </c>
      <c r="H19" s="9" t="s">
        <v>355</v>
      </c>
      <c r="I19" s="18">
        <v>43344</v>
      </c>
      <c r="J19" s="62">
        <v>19</v>
      </c>
      <c r="K19" s="152">
        <v>19</v>
      </c>
      <c r="L19" s="58">
        <v>182.35</v>
      </c>
      <c r="M19" s="58">
        <v>29.5</v>
      </c>
      <c r="N19" s="58">
        <v>0</v>
      </c>
      <c r="O19" s="12">
        <v>200</v>
      </c>
      <c r="P19" s="14">
        <v>0</v>
      </c>
      <c r="Q19" s="15">
        <v>0</v>
      </c>
      <c r="R19" s="98">
        <f t="shared" si="0"/>
        <v>411.85</v>
      </c>
      <c r="S19" s="16"/>
      <c r="T19" s="16"/>
      <c r="U19" s="16"/>
      <c r="V19" s="16"/>
    </row>
    <row r="20" spans="2:22" s="17" customFormat="1" ht="25.5" customHeight="1" x14ac:dyDescent="0.2">
      <c r="B20" s="97">
        <v>16</v>
      </c>
      <c r="C20" s="56" t="s">
        <v>341</v>
      </c>
      <c r="D20" s="10" t="s">
        <v>357</v>
      </c>
      <c r="E20" s="216" t="s">
        <v>675</v>
      </c>
      <c r="F20" s="214" t="s">
        <v>664</v>
      </c>
      <c r="G20" s="9" t="str">
        <f t="shared" si="1"/>
        <v>IMPLANTAÇÃO DO MODULO DE EXAMES DO AGHUSE.</v>
      </c>
      <c r="H20" s="9" t="s">
        <v>358</v>
      </c>
      <c r="I20" s="18">
        <v>43345</v>
      </c>
      <c r="J20" s="62">
        <v>17</v>
      </c>
      <c r="K20" s="152">
        <v>19</v>
      </c>
      <c r="L20" s="58">
        <v>0</v>
      </c>
      <c r="M20" s="58">
        <v>0</v>
      </c>
      <c r="N20" s="58">
        <v>0</v>
      </c>
      <c r="O20" s="12">
        <v>35</v>
      </c>
      <c r="P20" s="14">
        <v>0</v>
      </c>
      <c r="Q20" s="15">
        <v>0</v>
      </c>
      <c r="R20" s="98">
        <f t="shared" si="0"/>
        <v>35</v>
      </c>
      <c r="S20" s="16"/>
      <c r="T20" s="16"/>
      <c r="U20" s="16"/>
      <c r="V20" s="16"/>
    </row>
    <row r="21" spans="2:22" s="17" customFormat="1" ht="24" customHeight="1" x14ac:dyDescent="0.2">
      <c r="B21" s="99">
        <v>17</v>
      </c>
      <c r="C21" s="56" t="s">
        <v>342</v>
      </c>
      <c r="D21" s="10" t="s">
        <v>361</v>
      </c>
      <c r="E21" s="9" t="s">
        <v>591</v>
      </c>
      <c r="F21" s="193" t="s">
        <v>661</v>
      </c>
      <c r="G21" s="9" t="str">
        <f t="shared" si="1"/>
        <v>PARTICIPAR DO EVENTO PALESTRA ESCOLHAS ALIMENTARES, NO HCPA,  COMO PALESTRANTE.</v>
      </c>
      <c r="H21" s="9" t="s">
        <v>141</v>
      </c>
      <c r="I21" s="18">
        <v>43344</v>
      </c>
      <c r="J21" s="62">
        <v>25</v>
      </c>
      <c r="K21" s="152">
        <v>25</v>
      </c>
      <c r="L21" s="58">
        <v>0</v>
      </c>
      <c r="M21" s="58">
        <v>0</v>
      </c>
      <c r="N21" s="58">
        <v>0</v>
      </c>
      <c r="O21" s="12">
        <v>0</v>
      </c>
      <c r="P21" s="14">
        <v>1886.85</v>
      </c>
      <c r="Q21" s="15">
        <v>0</v>
      </c>
      <c r="R21" s="98">
        <f t="shared" si="0"/>
        <v>1886.85</v>
      </c>
      <c r="S21" s="16"/>
      <c r="T21" s="16"/>
      <c r="U21" s="16"/>
      <c r="V21" s="16"/>
    </row>
    <row r="22" spans="2:22" s="17" customFormat="1" ht="36" customHeight="1" x14ac:dyDescent="0.2">
      <c r="B22" s="97">
        <v>18</v>
      </c>
      <c r="C22" s="56" t="s">
        <v>343</v>
      </c>
      <c r="D22" s="10" t="s">
        <v>362</v>
      </c>
      <c r="E22" s="216" t="s">
        <v>570</v>
      </c>
      <c r="F22" s="266" t="s">
        <v>662</v>
      </c>
      <c r="G22" s="9" t="str">
        <f t="shared" si="1"/>
        <v>PARTICIPAÇÃO NO XII ENCONTRO DOS PROGRAMAS DE PÓS-GRADUAÇÃO NAS ÁREAS DE MEDICINA I, II E III DA CAPES</v>
      </c>
      <c r="H22" s="9" t="s">
        <v>181</v>
      </c>
      <c r="I22" s="18">
        <v>43374</v>
      </c>
      <c r="J22" s="62">
        <v>7</v>
      </c>
      <c r="K22" s="152">
        <v>10</v>
      </c>
      <c r="L22" s="58">
        <v>0</v>
      </c>
      <c r="M22" s="58">
        <v>0</v>
      </c>
      <c r="N22" s="58">
        <v>0</v>
      </c>
      <c r="O22" s="12">
        <f>83.7+20+20+18.2+59.02+76</f>
        <v>276.92</v>
      </c>
      <c r="P22" s="14">
        <v>888.15</v>
      </c>
      <c r="Q22" s="15">
        <f>771.75+69.4</f>
        <v>841.15</v>
      </c>
      <c r="R22" s="98">
        <f t="shared" si="0"/>
        <v>2006.2199999999998</v>
      </c>
      <c r="S22" s="16"/>
      <c r="T22" s="16"/>
      <c r="U22" s="16"/>
      <c r="V22" s="16"/>
    </row>
    <row r="23" spans="2:22" s="17" customFormat="1" ht="25.5" customHeight="1" x14ac:dyDescent="0.2">
      <c r="B23" s="99">
        <v>19</v>
      </c>
      <c r="C23" s="56" t="s">
        <v>344</v>
      </c>
      <c r="D23" s="10" t="s">
        <v>359</v>
      </c>
      <c r="E23" s="216" t="s">
        <v>570</v>
      </c>
      <c r="F23" s="267" t="s">
        <v>663</v>
      </c>
      <c r="G23" s="9" t="str">
        <f t="shared" si="1"/>
        <v>ENCONTRO DOS PROGRAMAS DE PÓS-GRADUAÇÃO NA ÁREA DE MEDICINA I, II E III.</v>
      </c>
      <c r="H23" s="9" t="s">
        <v>181</v>
      </c>
      <c r="I23" s="18">
        <v>43374</v>
      </c>
      <c r="J23" s="62">
        <v>8</v>
      </c>
      <c r="K23" s="152">
        <v>10</v>
      </c>
      <c r="L23" s="58">
        <v>0</v>
      </c>
      <c r="M23" s="58">
        <v>0</v>
      </c>
      <c r="N23" s="58">
        <v>0</v>
      </c>
      <c r="O23" s="12">
        <v>76</v>
      </c>
      <c r="P23" s="14">
        <v>658.35</v>
      </c>
      <c r="Q23" s="15">
        <f>514.5+26</f>
        <v>540.5</v>
      </c>
      <c r="R23" s="98">
        <f t="shared" si="0"/>
        <v>1274.8499999999999</v>
      </c>
      <c r="S23" s="16"/>
      <c r="T23" s="16"/>
      <c r="U23" s="16"/>
      <c r="V23" s="16"/>
    </row>
    <row r="24" spans="2:22" s="17" customFormat="1" ht="17.25" customHeight="1" thickBot="1" x14ac:dyDescent="0.25">
      <c r="B24" s="154">
        <v>20</v>
      </c>
      <c r="C24" s="101" t="s">
        <v>345</v>
      </c>
      <c r="D24" s="104" t="s">
        <v>360</v>
      </c>
      <c r="E24" s="199" t="s">
        <v>676</v>
      </c>
      <c r="F24" s="268" t="s">
        <v>664</v>
      </c>
      <c r="G24" s="102" t="str">
        <f t="shared" si="1"/>
        <v>IMPLANTAÇÃO DO MODULO DE EXAMES DO AGHUSE.</v>
      </c>
      <c r="H24" s="102" t="s">
        <v>358</v>
      </c>
      <c r="I24" s="103">
        <v>43345</v>
      </c>
      <c r="J24" s="135">
        <v>17</v>
      </c>
      <c r="K24" s="155">
        <v>19</v>
      </c>
      <c r="L24" s="149">
        <v>0</v>
      </c>
      <c r="M24" s="149">
        <v>0</v>
      </c>
      <c r="N24" s="149">
        <v>0</v>
      </c>
      <c r="O24" s="128">
        <f>91.24+95.4</f>
        <v>186.64</v>
      </c>
      <c r="P24" s="107">
        <v>0</v>
      </c>
      <c r="Q24" s="108">
        <v>0</v>
      </c>
      <c r="R24" s="109">
        <f t="shared" si="0"/>
        <v>186.64</v>
      </c>
      <c r="S24" s="16"/>
      <c r="T24" s="16"/>
      <c r="U24" s="16"/>
      <c r="V24" s="16"/>
    </row>
    <row r="25" spans="2:22" s="31" customFormat="1" ht="24.75" customHeight="1" x14ac:dyDescent="0.2">
      <c r="C25" s="32"/>
      <c r="D25" s="32"/>
      <c r="E25" s="32"/>
      <c r="F25" s="32"/>
      <c r="G25" s="32"/>
      <c r="H25" s="34"/>
      <c r="I25" s="32"/>
      <c r="J25" s="20"/>
      <c r="K25" s="33"/>
      <c r="L25" s="36">
        <f t="shared" ref="L25:Q25" si="2">SUM(L5:L24)</f>
        <v>772.01</v>
      </c>
      <c r="M25" s="36">
        <f t="shared" si="2"/>
        <v>678.97</v>
      </c>
      <c r="N25" s="36">
        <f t="shared" si="2"/>
        <v>0</v>
      </c>
      <c r="O25" s="133">
        <f t="shared" si="2"/>
        <v>1726.6999999999998</v>
      </c>
      <c r="P25" s="60">
        <f t="shared" si="2"/>
        <v>27698.189999999995</v>
      </c>
      <c r="Q25" s="61">
        <f t="shared" si="2"/>
        <v>3290.6</v>
      </c>
      <c r="R25" s="59">
        <f>SUM(R5:R24)+O26</f>
        <v>34183.736999999994</v>
      </c>
    </row>
    <row r="26" spans="2:22" s="40" customFormat="1" ht="24.75" customHeight="1" thickBot="1" x14ac:dyDescent="0.3">
      <c r="C26" s="41"/>
      <c r="D26" s="288"/>
      <c r="E26" s="288"/>
      <c r="F26" s="288"/>
      <c r="G26" s="288"/>
      <c r="H26" s="288"/>
      <c r="I26" s="288"/>
      <c r="J26" s="288"/>
      <c r="K26" s="42"/>
      <c r="L26" s="43"/>
      <c r="M26" s="43"/>
      <c r="N26" s="91" t="s">
        <v>315</v>
      </c>
      <c r="O26" s="27">
        <f>O25*1%</f>
        <v>17.266999999999999</v>
      </c>
      <c r="R26" s="44"/>
    </row>
    <row r="27" spans="2:22" s="40" customFormat="1" ht="24.75" customHeight="1" thickBot="1" x14ac:dyDescent="0.3">
      <c r="C27" s="41"/>
      <c r="D27" s="170" t="s">
        <v>369</v>
      </c>
      <c r="E27" s="273"/>
      <c r="F27" s="273"/>
      <c r="G27" s="273"/>
      <c r="H27" s="45"/>
      <c r="I27" s="41"/>
      <c r="J27" s="41"/>
      <c r="K27" s="168"/>
      <c r="L27" s="43"/>
      <c r="M27" s="43"/>
      <c r="N27" s="43"/>
      <c r="O27" s="93">
        <f>O25+O26</f>
        <v>1743.9669999999999</v>
      </c>
      <c r="P27" s="46"/>
      <c r="Q27" s="44"/>
      <c r="R27" s="47" t="s">
        <v>50</v>
      </c>
    </row>
    <row r="28" spans="2:22" s="40" customFormat="1" ht="24.75" customHeight="1" x14ac:dyDescent="0.2">
      <c r="C28" s="41"/>
      <c r="D28" s="289"/>
      <c r="E28" s="289"/>
      <c r="F28" s="289"/>
      <c r="G28" s="289"/>
      <c r="H28" s="289"/>
      <c r="I28" s="289"/>
      <c r="J28" s="289"/>
      <c r="K28" s="42"/>
      <c r="L28" s="43"/>
      <c r="M28" s="43"/>
      <c r="N28" s="43"/>
      <c r="O28" s="27"/>
      <c r="P28" s="5" t="s">
        <v>49</v>
      </c>
      <c r="Q28" s="167">
        <f>L25+M25+N25+O27+P25+Q25</f>
        <v>34183.736999999994</v>
      </c>
      <c r="R28" s="48">
        <f>R25-Q28</f>
        <v>0</v>
      </c>
    </row>
    <row r="29" spans="2:22" ht="24.75" customHeight="1" x14ac:dyDescent="0.25">
      <c r="C29" s="49"/>
      <c r="D29" s="50"/>
      <c r="E29" s="50"/>
      <c r="F29" s="50"/>
      <c r="G29" s="50"/>
      <c r="H29" s="51"/>
      <c r="I29" s="52"/>
      <c r="J29" s="52"/>
      <c r="K29" s="52"/>
      <c r="N29" s="91" t="s">
        <v>315</v>
      </c>
      <c r="O29" s="27" t="s">
        <v>316</v>
      </c>
    </row>
    <row r="30" spans="2:22" ht="24.75" customHeight="1" x14ac:dyDescent="0.25">
      <c r="C30" s="49"/>
      <c r="D30" s="50"/>
      <c r="E30" s="50"/>
      <c r="F30" s="50"/>
      <c r="G30" s="50"/>
      <c r="H30" s="51"/>
      <c r="I30" s="52"/>
      <c r="J30" s="52"/>
      <c r="K30" s="52"/>
      <c r="O30" s="27"/>
    </row>
    <row r="31" spans="2:22" ht="24.75" customHeight="1" x14ac:dyDescent="0.25">
      <c r="C31" s="49"/>
      <c r="D31" s="50"/>
      <c r="E31" s="50"/>
      <c r="F31" s="50"/>
      <c r="G31" s="50"/>
      <c r="H31" s="51"/>
      <c r="I31" s="52"/>
      <c r="J31" s="52"/>
      <c r="K31" s="52"/>
      <c r="O31" s="27"/>
    </row>
    <row r="32" spans="2:22" ht="24.75" customHeight="1" x14ac:dyDescent="0.25">
      <c r="C32" s="49"/>
      <c r="D32" s="50"/>
      <c r="E32" s="50"/>
      <c r="F32" s="50"/>
      <c r="G32" s="50"/>
      <c r="H32" s="51"/>
      <c r="I32" s="52"/>
      <c r="J32" s="52"/>
      <c r="K32" s="52"/>
      <c r="O32" s="27"/>
    </row>
    <row r="33" spans="3:18" ht="24.75" customHeight="1" x14ac:dyDescent="0.25">
      <c r="C33" s="49"/>
      <c r="D33" s="50"/>
      <c r="E33" s="50"/>
      <c r="F33" s="50"/>
      <c r="G33" s="50"/>
      <c r="H33" s="51"/>
      <c r="I33" s="52"/>
      <c r="J33" s="52"/>
      <c r="K33" s="52"/>
      <c r="O33" s="27"/>
    </row>
    <row r="34" spans="3:18" ht="24.75" customHeight="1" x14ac:dyDescent="0.25">
      <c r="C34" s="49"/>
      <c r="D34" s="50"/>
      <c r="E34" s="50"/>
      <c r="F34" s="50"/>
      <c r="G34" s="50"/>
      <c r="H34" s="51"/>
      <c r="I34" s="52"/>
      <c r="J34" s="52"/>
      <c r="K34" s="52"/>
      <c r="O34" s="27"/>
    </row>
    <row r="35" spans="3:18" ht="24.75" customHeight="1" x14ac:dyDescent="0.25">
      <c r="C35" s="49"/>
      <c r="D35" s="50"/>
      <c r="E35" s="50"/>
      <c r="F35" s="50"/>
      <c r="G35" s="50"/>
      <c r="H35" s="51"/>
      <c r="I35" s="52"/>
      <c r="J35" s="52"/>
      <c r="K35" s="52"/>
      <c r="O35" s="27"/>
    </row>
    <row r="36" spans="3:18" ht="24.75" customHeight="1" x14ac:dyDescent="0.25">
      <c r="C36" s="49"/>
      <c r="D36" s="50"/>
      <c r="E36" s="50"/>
      <c r="F36" s="50"/>
      <c r="G36" s="50"/>
      <c r="H36" s="51"/>
      <c r="I36" s="52"/>
      <c r="J36" s="52"/>
      <c r="K36" s="52"/>
      <c r="O36" s="27"/>
    </row>
    <row r="37" spans="3:18" ht="24.75" customHeight="1" x14ac:dyDescent="0.25">
      <c r="C37" s="49"/>
      <c r="H37" s="51"/>
      <c r="I37" s="52"/>
      <c r="J37" s="52"/>
      <c r="K37" s="52"/>
      <c r="O37" s="27"/>
    </row>
    <row r="38" spans="3:18" ht="24.75" customHeight="1" x14ac:dyDescent="0.25">
      <c r="C38" s="49"/>
      <c r="D38" s="50"/>
      <c r="E38" s="50"/>
      <c r="F38" s="50"/>
      <c r="G38" s="50"/>
      <c r="H38" s="51"/>
      <c r="I38" s="52"/>
      <c r="J38" s="52"/>
      <c r="K38" s="52"/>
      <c r="O38" s="27"/>
    </row>
    <row r="39" spans="3:18" ht="24.75" customHeight="1" x14ac:dyDescent="0.25">
      <c r="C39" s="49"/>
      <c r="D39" s="50"/>
      <c r="E39" s="50"/>
      <c r="F39" s="50"/>
      <c r="G39" s="50"/>
      <c r="H39" s="51"/>
      <c r="I39" s="52"/>
      <c r="J39" s="52"/>
      <c r="K39" s="52"/>
      <c r="O39" s="53"/>
    </row>
    <row r="40" spans="3:18" ht="24.75" customHeight="1" x14ac:dyDescent="0.25">
      <c r="C40" s="49"/>
      <c r="D40" s="50"/>
      <c r="E40" s="50"/>
      <c r="F40" s="50"/>
      <c r="G40" s="50"/>
      <c r="H40" s="51"/>
      <c r="I40" s="52"/>
      <c r="J40" s="52"/>
      <c r="K40" s="52"/>
      <c r="O40" s="40"/>
      <c r="P40"/>
      <c r="Q40"/>
      <c r="R40"/>
    </row>
    <row r="41" spans="3:18" ht="24.75" customHeight="1" x14ac:dyDescent="0.25">
      <c r="C41" s="49"/>
      <c r="D41" s="50"/>
      <c r="E41" s="50"/>
      <c r="F41" s="50"/>
      <c r="G41" s="50"/>
      <c r="H41" s="51"/>
      <c r="I41" s="52"/>
      <c r="J41" s="52"/>
      <c r="K41" s="52"/>
      <c r="O41" s="40"/>
      <c r="P41"/>
      <c r="Q41"/>
      <c r="R41"/>
    </row>
    <row r="42" spans="3:18" ht="24.75" customHeight="1" x14ac:dyDescent="0.25">
      <c r="C42" s="49"/>
      <c r="D42" s="50"/>
      <c r="E42" s="50"/>
      <c r="F42" s="50"/>
      <c r="G42" s="50"/>
      <c r="H42" s="51"/>
      <c r="I42" s="52"/>
      <c r="J42" s="52"/>
      <c r="K42" s="52"/>
      <c r="O42" s="40"/>
      <c r="P42"/>
      <c r="Q42"/>
      <c r="R42"/>
    </row>
    <row r="43" spans="3:18" ht="24.75" customHeight="1" x14ac:dyDescent="0.25">
      <c r="C43" s="49"/>
      <c r="D43" s="50"/>
      <c r="E43" s="50"/>
      <c r="F43" s="50"/>
      <c r="G43" s="50"/>
      <c r="H43" s="51"/>
      <c r="I43" s="52"/>
      <c r="J43" s="52"/>
      <c r="K43" s="52"/>
      <c r="P43"/>
      <c r="Q43"/>
      <c r="R43"/>
    </row>
    <row r="44" spans="3:18" ht="24.75" customHeight="1" x14ac:dyDescent="0.25">
      <c r="C44" s="49"/>
      <c r="D44" s="50"/>
      <c r="E44" s="50"/>
      <c r="F44" s="50"/>
      <c r="G44" s="50"/>
      <c r="H44" s="51"/>
      <c r="I44" s="52"/>
      <c r="J44" s="52"/>
      <c r="K44" s="52"/>
      <c r="P44"/>
      <c r="Q44"/>
      <c r="R44"/>
    </row>
    <row r="45" spans="3:18" ht="24.75" customHeight="1" x14ac:dyDescent="0.25">
      <c r="C45" s="49"/>
      <c r="D45" s="50"/>
      <c r="E45" s="50"/>
      <c r="F45" s="50"/>
      <c r="G45" s="50"/>
      <c r="H45" s="51"/>
      <c r="I45" s="52"/>
      <c r="J45" s="52"/>
      <c r="K45" s="52"/>
      <c r="P45"/>
      <c r="Q45"/>
      <c r="R45"/>
    </row>
    <row r="46" spans="3:18" ht="24.75" customHeight="1" x14ac:dyDescent="0.25">
      <c r="C46" s="49"/>
      <c r="D46" s="50"/>
      <c r="E46" s="50"/>
      <c r="F46" s="50"/>
      <c r="G46" s="50"/>
      <c r="H46" s="51"/>
      <c r="I46" s="52"/>
      <c r="J46" s="52"/>
      <c r="K46" s="52"/>
      <c r="P46"/>
      <c r="Q46"/>
      <c r="R46"/>
    </row>
    <row r="47" spans="3:18" ht="24.75" customHeight="1" x14ac:dyDescent="0.25">
      <c r="C47" s="49"/>
      <c r="D47" s="50"/>
      <c r="E47" s="50"/>
      <c r="F47" s="50"/>
      <c r="G47" s="50"/>
      <c r="H47" s="51"/>
      <c r="I47" s="52"/>
      <c r="J47" s="52"/>
      <c r="K47" s="52"/>
      <c r="P47"/>
      <c r="Q47"/>
      <c r="R47"/>
    </row>
    <row r="48" spans="3:18" ht="24.75" customHeight="1" x14ac:dyDescent="0.25">
      <c r="C48" s="49"/>
      <c r="D48" s="50"/>
      <c r="E48" s="50"/>
      <c r="F48" s="50"/>
      <c r="G48" s="50"/>
      <c r="H48" s="51"/>
      <c r="I48" s="52"/>
      <c r="J48" s="52"/>
      <c r="K48" s="52"/>
      <c r="P48"/>
      <c r="Q48"/>
      <c r="R48"/>
    </row>
    <row r="49" spans="3:18" ht="24.75" customHeight="1" x14ac:dyDescent="0.25">
      <c r="C49" s="49"/>
      <c r="D49" s="50"/>
      <c r="E49" s="50"/>
      <c r="F49" s="50"/>
      <c r="G49" s="50"/>
      <c r="H49" s="51"/>
      <c r="I49" s="52"/>
      <c r="J49" s="52"/>
      <c r="K49" s="52"/>
      <c r="P49"/>
      <c r="Q49"/>
      <c r="R49"/>
    </row>
    <row r="50" spans="3:18" ht="24.75" customHeight="1" x14ac:dyDescent="0.25">
      <c r="C50" s="49"/>
      <c r="D50" s="50"/>
      <c r="E50" s="50"/>
      <c r="F50" s="50"/>
      <c r="G50" s="50"/>
      <c r="H50" s="51"/>
      <c r="I50" s="52"/>
      <c r="J50" s="52"/>
      <c r="K50" s="52"/>
      <c r="P50"/>
      <c r="Q50"/>
      <c r="R50"/>
    </row>
    <row r="51" spans="3:18" ht="24.75" customHeight="1" x14ac:dyDescent="0.25">
      <c r="C51" s="49"/>
      <c r="D51" s="50"/>
      <c r="E51" s="50"/>
      <c r="F51" s="50"/>
      <c r="G51" s="50"/>
      <c r="H51" s="51"/>
      <c r="I51" s="52"/>
      <c r="J51" s="52"/>
      <c r="K51" s="52"/>
      <c r="P51"/>
      <c r="Q51"/>
      <c r="R51"/>
    </row>
    <row r="52" spans="3:18" ht="24.75" customHeight="1" x14ac:dyDescent="0.25">
      <c r="C52" s="49"/>
      <c r="D52" s="50"/>
      <c r="E52" s="50"/>
      <c r="F52" s="50"/>
      <c r="G52" s="50"/>
      <c r="H52" s="51"/>
      <c r="I52" s="52"/>
      <c r="J52" s="52"/>
      <c r="K52" s="52"/>
      <c r="P52"/>
      <c r="Q52"/>
      <c r="R52"/>
    </row>
    <row r="53" spans="3:18" ht="24.75" customHeight="1" x14ac:dyDescent="0.25">
      <c r="C53" s="49"/>
      <c r="D53" s="50"/>
      <c r="E53" s="50"/>
      <c r="F53" s="50"/>
      <c r="G53" s="50"/>
      <c r="H53" s="51"/>
      <c r="I53" s="52"/>
      <c r="J53" s="52"/>
      <c r="K53" s="52"/>
      <c r="P53"/>
      <c r="Q53"/>
      <c r="R53"/>
    </row>
    <row r="54" spans="3:18" ht="24.75" customHeight="1" x14ac:dyDescent="0.25">
      <c r="C54" s="49"/>
      <c r="D54" s="50"/>
      <c r="E54" s="50"/>
      <c r="F54" s="50"/>
      <c r="G54" s="50"/>
      <c r="H54" s="51"/>
      <c r="I54" s="52"/>
      <c r="J54" s="52"/>
      <c r="K54" s="52"/>
      <c r="P54"/>
      <c r="Q54"/>
      <c r="R54"/>
    </row>
    <row r="55" spans="3:18" ht="24.75" customHeight="1" x14ac:dyDescent="0.25">
      <c r="C55" s="49"/>
      <c r="D55" s="50"/>
      <c r="E55" s="50"/>
      <c r="F55" s="50"/>
      <c r="G55" s="50"/>
      <c r="H55" s="51"/>
      <c r="I55" s="52"/>
      <c r="J55" s="52"/>
      <c r="K55" s="52"/>
      <c r="P55"/>
      <c r="Q55"/>
      <c r="R55"/>
    </row>
    <row r="56" spans="3:18" ht="24.75" customHeight="1" x14ac:dyDescent="0.25">
      <c r="C56" s="49"/>
      <c r="D56" s="50"/>
      <c r="E56" s="50"/>
      <c r="F56" s="50"/>
      <c r="G56" s="50"/>
      <c r="H56" s="51"/>
      <c r="I56" s="52"/>
      <c r="J56" s="52"/>
      <c r="K56" s="52"/>
      <c r="L56"/>
      <c r="M56"/>
      <c r="N56"/>
      <c r="P56"/>
      <c r="Q56"/>
      <c r="R56"/>
    </row>
    <row r="57" spans="3:18" ht="24.75" customHeight="1" x14ac:dyDescent="0.25">
      <c r="C57" s="49"/>
      <c r="D57" s="50"/>
      <c r="E57" s="50"/>
      <c r="F57" s="50"/>
      <c r="G57" s="50"/>
      <c r="H57" s="51"/>
      <c r="I57" s="52"/>
      <c r="J57" s="52"/>
      <c r="K57" s="52"/>
      <c r="L57"/>
      <c r="M57"/>
      <c r="N57"/>
      <c r="P57"/>
      <c r="Q57"/>
      <c r="R57"/>
    </row>
    <row r="58" spans="3:18" ht="24.75" customHeight="1" x14ac:dyDescent="0.25">
      <c r="C58" s="49"/>
      <c r="D58" s="50"/>
      <c r="E58" s="50"/>
      <c r="F58" s="50"/>
      <c r="G58" s="50"/>
      <c r="H58" s="51"/>
      <c r="I58" s="52"/>
      <c r="J58" s="52"/>
      <c r="K58" s="52"/>
      <c r="L58"/>
      <c r="M58"/>
      <c r="N58"/>
      <c r="P58"/>
      <c r="Q58"/>
      <c r="R58"/>
    </row>
    <row r="59" spans="3:18" ht="24.75" customHeight="1" x14ac:dyDescent="0.25">
      <c r="C59" s="49"/>
      <c r="D59" s="50"/>
      <c r="E59" s="50"/>
      <c r="F59" s="50"/>
      <c r="G59" s="50"/>
      <c r="H59" s="51"/>
      <c r="I59" s="52"/>
      <c r="J59" s="52"/>
      <c r="K59" s="52"/>
      <c r="L59"/>
      <c r="M59"/>
      <c r="N59"/>
      <c r="P59"/>
      <c r="Q59"/>
      <c r="R59"/>
    </row>
    <row r="60" spans="3:18" ht="24.75" customHeight="1" x14ac:dyDescent="0.25">
      <c r="C60" s="49"/>
      <c r="D60" s="50"/>
      <c r="E60" s="50"/>
      <c r="F60" s="50"/>
      <c r="G60" s="50"/>
      <c r="H60" s="51"/>
      <c r="I60" s="52"/>
      <c r="J60" s="52"/>
      <c r="K60" s="52"/>
      <c r="L60"/>
      <c r="M60"/>
      <c r="N60"/>
      <c r="P60"/>
      <c r="Q60"/>
      <c r="R60"/>
    </row>
    <row r="61" spans="3:18" ht="24.75" customHeight="1" x14ac:dyDescent="0.25">
      <c r="C61" s="49"/>
      <c r="D61" s="50"/>
      <c r="E61" s="50"/>
      <c r="F61" s="50"/>
      <c r="G61" s="50"/>
      <c r="H61" s="51"/>
      <c r="I61" s="52"/>
      <c r="J61" s="52"/>
      <c r="K61" s="52"/>
      <c r="L61"/>
      <c r="M61"/>
      <c r="N61"/>
      <c r="P61"/>
      <c r="Q61"/>
      <c r="R61"/>
    </row>
    <row r="62" spans="3:18" ht="24.75" customHeight="1" x14ac:dyDescent="0.25">
      <c r="C62" s="49"/>
      <c r="D62" s="50"/>
      <c r="E62" s="50"/>
      <c r="F62" s="50"/>
      <c r="G62" s="50"/>
      <c r="H62" s="51"/>
      <c r="I62" s="52"/>
      <c r="J62" s="52"/>
      <c r="K62" s="52"/>
      <c r="L62"/>
      <c r="M62"/>
      <c r="N62"/>
      <c r="P62"/>
      <c r="Q62"/>
      <c r="R62"/>
    </row>
    <row r="63" spans="3:18" ht="24.75" customHeight="1" x14ac:dyDescent="0.25">
      <c r="C63" s="49"/>
      <c r="D63" s="50"/>
      <c r="E63" s="50"/>
      <c r="F63" s="50"/>
      <c r="G63" s="50"/>
      <c r="H63" s="51"/>
      <c r="I63" s="52"/>
      <c r="J63" s="52"/>
      <c r="K63" s="52"/>
      <c r="L63"/>
      <c r="M63"/>
      <c r="N63"/>
      <c r="P63"/>
      <c r="Q63"/>
      <c r="R63"/>
    </row>
    <row r="64" spans="3:18" ht="24.75" customHeight="1" x14ac:dyDescent="0.25">
      <c r="C64" s="49"/>
      <c r="D64" s="50"/>
      <c r="E64" s="50"/>
      <c r="F64" s="50"/>
      <c r="G64" s="50"/>
      <c r="H64" s="51"/>
      <c r="I64" s="52"/>
      <c r="J64" s="52"/>
      <c r="K64" s="52"/>
      <c r="L64"/>
      <c r="M64"/>
      <c r="N64"/>
      <c r="P64"/>
      <c r="Q64"/>
      <c r="R64"/>
    </row>
    <row r="65" spans="3:18" ht="24.75" customHeight="1" x14ac:dyDescent="0.25">
      <c r="C65" s="49"/>
      <c r="D65" s="50"/>
      <c r="E65" s="50"/>
      <c r="F65" s="50"/>
      <c r="G65" s="50"/>
      <c r="H65" s="51"/>
      <c r="I65" s="52"/>
      <c r="J65" s="52"/>
      <c r="K65" s="52"/>
      <c r="L65"/>
      <c r="M65"/>
      <c r="N65"/>
      <c r="P65"/>
      <c r="Q65"/>
      <c r="R65"/>
    </row>
    <row r="66" spans="3:18" ht="24.75" customHeight="1" x14ac:dyDescent="0.25">
      <c r="C66" s="49"/>
      <c r="D66" s="50"/>
      <c r="E66" s="50"/>
      <c r="F66" s="50"/>
      <c r="G66" s="50"/>
      <c r="H66" s="51"/>
      <c r="I66" s="52"/>
      <c r="J66" s="52"/>
      <c r="K66" s="52"/>
      <c r="L66"/>
      <c r="M66"/>
      <c r="N66"/>
      <c r="P66"/>
      <c r="Q66"/>
      <c r="R66"/>
    </row>
    <row r="67" spans="3:18" ht="24.75" customHeight="1" x14ac:dyDescent="0.25">
      <c r="C67" s="49"/>
      <c r="D67" s="50"/>
      <c r="E67" s="50"/>
      <c r="F67" s="50"/>
      <c r="G67" s="50"/>
      <c r="H67" s="51"/>
      <c r="I67" s="52"/>
      <c r="J67" s="52"/>
      <c r="K67" s="52"/>
      <c r="L67"/>
      <c r="M67"/>
      <c r="N67"/>
      <c r="P67"/>
      <c r="Q67"/>
      <c r="R67"/>
    </row>
    <row r="68" spans="3:18" ht="24.75" customHeight="1" x14ac:dyDescent="0.25">
      <c r="C68" s="49"/>
      <c r="D68" s="50"/>
      <c r="E68" s="50"/>
      <c r="F68" s="50"/>
      <c r="G68" s="50"/>
      <c r="H68" s="51"/>
      <c r="I68" s="52"/>
      <c r="J68" s="52"/>
      <c r="K68" s="52"/>
      <c r="L68"/>
      <c r="M68"/>
      <c r="N68"/>
      <c r="P68"/>
      <c r="Q68"/>
      <c r="R68"/>
    </row>
    <row r="69" spans="3:18" ht="24.75" customHeight="1" x14ac:dyDescent="0.25">
      <c r="C69" s="49"/>
      <c r="D69" s="50"/>
      <c r="E69" s="50"/>
      <c r="F69" s="50"/>
      <c r="G69" s="50"/>
      <c r="H69" s="51"/>
      <c r="I69" s="52"/>
      <c r="J69" s="52"/>
      <c r="K69" s="52"/>
      <c r="L69"/>
      <c r="M69"/>
      <c r="N69"/>
      <c r="P69"/>
      <c r="Q69"/>
      <c r="R69"/>
    </row>
    <row r="70" spans="3:18" ht="24.75" customHeight="1" x14ac:dyDescent="0.25">
      <c r="C70" s="49"/>
      <c r="D70" s="50"/>
      <c r="E70" s="50"/>
      <c r="F70" s="50"/>
      <c r="G70" s="50"/>
      <c r="H70" s="51"/>
      <c r="I70" s="52"/>
      <c r="J70" s="52"/>
      <c r="K70" s="52"/>
      <c r="L70"/>
      <c r="M70"/>
      <c r="N70"/>
      <c r="P70"/>
      <c r="Q70"/>
      <c r="R70"/>
    </row>
    <row r="71" spans="3:18" ht="24.75" customHeight="1" x14ac:dyDescent="0.25">
      <c r="C71" s="49"/>
      <c r="D71" s="50"/>
      <c r="E71" s="50"/>
      <c r="F71" s="50"/>
      <c r="G71" s="50"/>
      <c r="H71" s="51"/>
      <c r="I71" s="52"/>
      <c r="J71" s="52"/>
      <c r="K71" s="52"/>
      <c r="L71"/>
      <c r="M71"/>
      <c r="N71"/>
      <c r="P71"/>
      <c r="Q71"/>
      <c r="R71"/>
    </row>
    <row r="72" spans="3:18" ht="24.75" customHeight="1" x14ac:dyDescent="0.25">
      <c r="C72" s="49"/>
      <c r="D72" s="50"/>
      <c r="E72" s="50"/>
      <c r="F72" s="50"/>
      <c r="G72" s="50"/>
      <c r="H72" s="51"/>
      <c r="I72" s="52"/>
      <c r="J72" s="52"/>
      <c r="K72" s="52"/>
      <c r="L72"/>
      <c r="M72"/>
      <c r="N72"/>
      <c r="P72"/>
      <c r="Q72"/>
      <c r="R72"/>
    </row>
    <row r="73" spans="3:18" ht="24.75" customHeight="1" x14ac:dyDescent="0.25">
      <c r="C73" s="49"/>
      <c r="D73" s="50"/>
      <c r="E73" s="50"/>
      <c r="F73" s="50"/>
      <c r="G73" s="50"/>
      <c r="H73" s="51"/>
      <c r="I73" s="52"/>
      <c r="J73" s="52"/>
      <c r="K73" s="52"/>
      <c r="L73"/>
      <c r="M73"/>
      <c r="N73"/>
      <c r="P73"/>
      <c r="Q73"/>
      <c r="R73"/>
    </row>
    <row r="74" spans="3:18" ht="24.75" customHeight="1" x14ac:dyDescent="0.25">
      <c r="C74" s="49"/>
      <c r="D74" s="50"/>
      <c r="E74" s="50"/>
      <c r="F74" s="50"/>
      <c r="G74" s="50"/>
      <c r="H74" s="51"/>
      <c r="I74" s="52"/>
      <c r="J74" s="52"/>
      <c r="K74" s="52"/>
      <c r="L74"/>
      <c r="M74"/>
      <c r="N74"/>
      <c r="P74"/>
      <c r="Q74"/>
      <c r="R74"/>
    </row>
    <row r="75" spans="3:18" ht="24.75" customHeight="1" x14ac:dyDescent="0.25">
      <c r="C75" s="49"/>
      <c r="D75" s="50"/>
      <c r="E75" s="50"/>
      <c r="F75" s="50"/>
      <c r="G75" s="50"/>
      <c r="H75" s="51"/>
      <c r="I75" s="52"/>
      <c r="J75" s="52"/>
      <c r="K75" s="52"/>
      <c r="L75"/>
      <c r="M75"/>
      <c r="N75"/>
      <c r="P75"/>
      <c r="Q75"/>
      <c r="R75"/>
    </row>
    <row r="76" spans="3:18" ht="24.75" customHeight="1" x14ac:dyDescent="0.25">
      <c r="C76" s="49"/>
      <c r="D76" s="50"/>
      <c r="E76" s="50"/>
      <c r="F76" s="50"/>
      <c r="G76" s="50"/>
      <c r="H76" s="51"/>
      <c r="I76" s="52"/>
      <c r="J76" s="52"/>
      <c r="K76" s="52"/>
      <c r="L76"/>
      <c r="M76"/>
      <c r="N76"/>
      <c r="P76"/>
      <c r="Q76"/>
      <c r="R76"/>
    </row>
    <row r="77" spans="3:18" ht="24.75" customHeight="1" x14ac:dyDescent="0.25">
      <c r="C77" s="49"/>
      <c r="D77" s="50"/>
      <c r="E77" s="50"/>
      <c r="F77" s="50"/>
      <c r="G77" s="50"/>
      <c r="H77" s="51"/>
      <c r="I77" s="52"/>
      <c r="J77" s="52"/>
      <c r="K77" s="52"/>
      <c r="L77"/>
      <c r="M77"/>
      <c r="N77"/>
      <c r="P77"/>
      <c r="Q77"/>
      <c r="R77"/>
    </row>
    <row r="78" spans="3:18" ht="24.75" customHeight="1" x14ac:dyDescent="0.25">
      <c r="C78" s="49"/>
      <c r="D78" s="50"/>
      <c r="E78" s="50"/>
      <c r="F78" s="50"/>
      <c r="G78" s="50"/>
      <c r="H78" s="51"/>
      <c r="I78" s="52"/>
      <c r="J78" s="52"/>
      <c r="K78" s="52"/>
      <c r="L78"/>
      <c r="M78"/>
      <c r="N78"/>
      <c r="P78"/>
      <c r="Q78"/>
      <c r="R78"/>
    </row>
    <row r="79" spans="3:18" ht="24.75" customHeight="1" x14ac:dyDescent="0.25">
      <c r="C79" s="49"/>
      <c r="D79" s="50"/>
      <c r="E79" s="50"/>
      <c r="F79" s="50"/>
      <c r="G79" s="50"/>
      <c r="H79" s="51"/>
      <c r="I79" s="52"/>
      <c r="J79" s="52"/>
      <c r="K79" s="52"/>
      <c r="L79"/>
      <c r="M79"/>
      <c r="N79"/>
      <c r="P79"/>
      <c r="Q79"/>
      <c r="R79"/>
    </row>
    <row r="80" spans="3:18" ht="24.75" customHeight="1" x14ac:dyDescent="0.25">
      <c r="C80" s="49"/>
      <c r="D80" s="50"/>
      <c r="E80" s="50"/>
      <c r="F80" s="50"/>
      <c r="G80" s="50"/>
      <c r="H80" s="51"/>
      <c r="I80" s="52"/>
      <c r="J80" s="52"/>
      <c r="K80" s="52"/>
      <c r="L80"/>
      <c r="M80"/>
      <c r="N80"/>
      <c r="P80"/>
      <c r="Q80"/>
      <c r="R80"/>
    </row>
    <row r="81" spans="3:18" ht="24.75" customHeight="1" x14ac:dyDescent="0.25">
      <c r="C81" s="49"/>
      <c r="D81" s="50"/>
      <c r="E81" s="50"/>
      <c r="F81" s="50"/>
      <c r="G81" s="50"/>
      <c r="H81" s="51"/>
      <c r="I81" s="52"/>
      <c r="J81" s="52"/>
      <c r="K81" s="52"/>
      <c r="L81"/>
      <c r="M81"/>
      <c r="N81"/>
      <c r="P81"/>
      <c r="Q81"/>
      <c r="R81"/>
    </row>
    <row r="82" spans="3:18" ht="24.75" customHeight="1" x14ac:dyDescent="0.25">
      <c r="C82" s="49"/>
      <c r="D82" s="50"/>
      <c r="E82" s="50"/>
      <c r="F82" s="50"/>
      <c r="G82" s="50"/>
      <c r="H82" s="51"/>
      <c r="I82" s="52"/>
      <c r="J82" s="52"/>
      <c r="K82" s="52"/>
      <c r="L82"/>
      <c r="M82"/>
      <c r="N82"/>
      <c r="P82"/>
      <c r="Q82"/>
      <c r="R82"/>
    </row>
    <row r="83" spans="3:18" ht="24.75" customHeight="1" x14ac:dyDescent="0.25">
      <c r="C83" s="49"/>
      <c r="D83" s="50"/>
      <c r="E83" s="50"/>
      <c r="F83" s="50"/>
      <c r="G83" s="50"/>
      <c r="H83" s="51"/>
      <c r="I83" s="52"/>
      <c r="J83" s="52"/>
      <c r="K83" s="52"/>
      <c r="L83"/>
      <c r="M83"/>
      <c r="N83"/>
      <c r="P83"/>
      <c r="Q83"/>
      <c r="R83"/>
    </row>
    <row r="84" spans="3:18" ht="24.75" customHeight="1" x14ac:dyDescent="0.25">
      <c r="C84" s="49"/>
      <c r="D84" s="50"/>
      <c r="E84" s="50"/>
      <c r="F84" s="50"/>
      <c r="G84" s="50"/>
      <c r="H84" s="51"/>
      <c r="I84" s="52"/>
      <c r="J84" s="52"/>
      <c r="K84" s="52"/>
      <c r="L84"/>
      <c r="M84"/>
      <c r="N84"/>
      <c r="P84"/>
      <c r="Q84"/>
      <c r="R84"/>
    </row>
    <row r="85" spans="3:18" ht="24.75" customHeight="1" x14ac:dyDescent="0.25">
      <c r="C85" s="49"/>
      <c r="D85" s="50"/>
      <c r="E85" s="50"/>
      <c r="F85" s="50"/>
      <c r="G85" s="50"/>
      <c r="H85" s="51"/>
      <c r="I85" s="52"/>
      <c r="J85" s="52"/>
      <c r="K85" s="52"/>
      <c r="L85"/>
      <c r="M85"/>
      <c r="N85"/>
      <c r="P85"/>
      <c r="Q85"/>
      <c r="R85"/>
    </row>
    <row r="86" spans="3:18" ht="24.75" customHeight="1" x14ac:dyDescent="0.25">
      <c r="C86" s="49"/>
      <c r="D86" s="50"/>
      <c r="E86" s="50"/>
      <c r="F86" s="50"/>
      <c r="G86" s="50"/>
      <c r="H86" s="51"/>
      <c r="I86" s="52"/>
      <c r="J86" s="52"/>
      <c r="K86" s="52"/>
      <c r="L86"/>
      <c r="M86"/>
      <c r="N86"/>
      <c r="P86"/>
      <c r="Q86"/>
      <c r="R86"/>
    </row>
    <row r="87" spans="3:18" ht="24.75" customHeight="1" x14ac:dyDescent="0.25">
      <c r="C87" s="49"/>
      <c r="D87" s="50"/>
      <c r="E87" s="50"/>
      <c r="F87" s="50"/>
      <c r="G87" s="50"/>
      <c r="H87" s="51"/>
      <c r="I87" s="52"/>
      <c r="J87" s="52"/>
      <c r="K87" s="52"/>
      <c r="L87"/>
      <c r="M87"/>
      <c r="N87"/>
      <c r="P87"/>
      <c r="Q87"/>
      <c r="R87"/>
    </row>
    <row r="88" spans="3:18" ht="24.75" customHeight="1" x14ac:dyDescent="0.25">
      <c r="C88" s="49"/>
      <c r="D88" s="50"/>
      <c r="E88" s="50"/>
      <c r="F88" s="50"/>
      <c r="G88" s="50"/>
      <c r="H88" s="51"/>
      <c r="I88" s="52"/>
      <c r="J88" s="52"/>
      <c r="K88" s="52"/>
      <c r="L88"/>
      <c r="M88"/>
      <c r="N88"/>
      <c r="P88"/>
      <c r="Q88"/>
      <c r="R88"/>
    </row>
    <row r="89" spans="3:18" ht="24.75" customHeight="1" x14ac:dyDescent="0.25">
      <c r="C89" s="49"/>
      <c r="D89" s="50"/>
      <c r="E89" s="50"/>
      <c r="F89" s="50"/>
      <c r="G89" s="50"/>
      <c r="H89" s="51"/>
      <c r="I89" s="52"/>
      <c r="J89" s="52"/>
      <c r="K89" s="52"/>
      <c r="L89"/>
      <c r="M89"/>
      <c r="N89"/>
      <c r="P89"/>
      <c r="Q89"/>
      <c r="R89"/>
    </row>
    <row r="90" spans="3:18" ht="24.75" customHeight="1" x14ac:dyDescent="0.25">
      <c r="C90" s="49"/>
      <c r="D90" s="50"/>
      <c r="E90" s="50"/>
      <c r="F90" s="50"/>
      <c r="G90" s="50"/>
      <c r="H90" s="51"/>
      <c r="I90" s="52"/>
      <c r="J90" s="52"/>
      <c r="K90" s="52"/>
      <c r="L90"/>
      <c r="M90"/>
      <c r="N90"/>
      <c r="P90"/>
      <c r="Q90"/>
      <c r="R90"/>
    </row>
    <row r="91" spans="3:18" ht="24.75" customHeight="1" x14ac:dyDescent="0.25">
      <c r="C91" s="49"/>
      <c r="D91" s="50"/>
      <c r="E91" s="50"/>
      <c r="F91" s="50"/>
      <c r="G91" s="50"/>
      <c r="H91" s="51"/>
      <c r="I91" s="52"/>
      <c r="J91" s="52"/>
      <c r="K91" s="52"/>
      <c r="L91"/>
      <c r="M91"/>
      <c r="N91"/>
      <c r="P91"/>
      <c r="Q91"/>
      <c r="R91"/>
    </row>
    <row r="92" spans="3:18" ht="24.75" customHeight="1" x14ac:dyDescent="0.25">
      <c r="C92" s="49"/>
      <c r="D92" s="50"/>
      <c r="E92" s="50"/>
      <c r="F92" s="50"/>
      <c r="G92" s="50"/>
      <c r="H92" s="51"/>
      <c r="I92" s="52"/>
      <c r="J92" s="52"/>
      <c r="K92" s="52"/>
      <c r="L92"/>
      <c r="M92"/>
      <c r="N92"/>
      <c r="P92"/>
      <c r="Q92"/>
      <c r="R92"/>
    </row>
    <row r="93" spans="3:18" ht="24.75" customHeight="1" x14ac:dyDescent="0.25">
      <c r="C93" s="49"/>
      <c r="D93" s="50"/>
      <c r="E93" s="50"/>
      <c r="F93" s="50"/>
      <c r="G93" s="50"/>
      <c r="H93" s="51"/>
      <c r="I93" s="52"/>
      <c r="J93" s="52"/>
      <c r="K93" s="52"/>
      <c r="L93"/>
      <c r="M93"/>
      <c r="N93"/>
      <c r="P93"/>
      <c r="Q93"/>
      <c r="R93"/>
    </row>
    <row r="94" spans="3:18" ht="24.75" customHeight="1" x14ac:dyDescent="0.25">
      <c r="C94" s="49"/>
      <c r="D94" s="50"/>
      <c r="E94" s="50"/>
      <c r="F94" s="50"/>
      <c r="G94" s="50"/>
      <c r="H94" s="51"/>
      <c r="I94" s="52"/>
      <c r="J94" s="52"/>
      <c r="K94" s="52"/>
      <c r="L94"/>
      <c r="M94"/>
      <c r="N94"/>
      <c r="P94"/>
      <c r="Q94"/>
      <c r="R94"/>
    </row>
    <row r="95" spans="3:18" ht="24.75" customHeight="1" x14ac:dyDescent="0.25">
      <c r="C95" s="49"/>
      <c r="D95" s="50"/>
      <c r="E95" s="50"/>
      <c r="F95" s="50"/>
      <c r="G95" s="50"/>
      <c r="H95" s="51"/>
      <c r="I95" s="52"/>
      <c r="J95" s="52"/>
      <c r="K95" s="52"/>
      <c r="L95"/>
      <c r="M95"/>
      <c r="N95"/>
      <c r="P95"/>
      <c r="Q95"/>
      <c r="R95"/>
    </row>
    <row r="96" spans="3:18" ht="24.75" customHeight="1" x14ac:dyDescent="0.25">
      <c r="C96" s="49"/>
      <c r="D96" s="50"/>
      <c r="E96" s="50"/>
      <c r="F96" s="50"/>
      <c r="G96" s="50"/>
      <c r="H96" s="51"/>
      <c r="I96" s="52"/>
      <c r="J96" s="52"/>
      <c r="K96" s="52"/>
      <c r="L96"/>
      <c r="M96"/>
      <c r="N96"/>
      <c r="P96"/>
      <c r="Q96"/>
      <c r="R96"/>
    </row>
    <row r="97" spans="3:18" ht="24.75" customHeight="1" x14ac:dyDescent="0.25">
      <c r="C97" s="49"/>
      <c r="D97" s="50"/>
      <c r="E97" s="50"/>
      <c r="F97" s="50"/>
      <c r="G97" s="50"/>
      <c r="H97" s="51"/>
      <c r="I97" s="52"/>
      <c r="J97" s="52"/>
      <c r="K97" s="52"/>
      <c r="L97"/>
      <c r="M97"/>
      <c r="N97"/>
      <c r="P97"/>
      <c r="Q97"/>
      <c r="R97"/>
    </row>
    <row r="98" spans="3:18" ht="24.75" customHeight="1" x14ac:dyDescent="0.25">
      <c r="C98" s="49"/>
      <c r="D98" s="50"/>
      <c r="E98" s="50"/>
      <c r="F98" s="50"/>
      <c r="G98" s="50"/>
      <c r="H98" s="51"/>
      <c r="I98" s="52"/>
      <c r="J98" s="52"/>
      <c r="K98" s="52"/>
      <c r="L98"/>
      <c r="M98"/>
      <c r="N98"/>
      <c r="P98"/>
      <c r="Q98"/>
      <c r="R98"/>
    </row>
    <row r="99" spans="3:18" ht="24.75" customHeight="1" x14ac:dyDescent="0.25">
      <c r="C99" s="49"/>
      <c r="D99" s="50"/>
      <c r="E99" s="50"/>
      <c r="F99" s="50"/>
      <c r="G99" s="50"/>
      <c r="H99" s="51"/>
      <c r="I99" s="52"/>
      <c r="J99" s="52"/>
      <c r="K99" s="52"/>
      <c r="L99"/>
      <c r="M99"/>
      <c r="N99"/>
      <c r="P99"/>
      <c r="Q99"/>
      <c r="R99"/>
    </row>
    <row r="100" spans="3:18" ht="24.75" customHeight="1" x14ac:dyDescent="0.25">
      <c r="C100" s="49"/>
      <c r="D100" s="50"/>
      <c r="E100" s="50"/>
      <c r="F100" s="50"/>
      <c r="G100" s="50"/>
      <c r="H100" s="51"/>
      <c r="I100" s="52"/>
      <c r="J100" s="52"/>
      <c r="K100" s="52"/>
      <c r="L100"/>
      <c r="M100"/>
      <c r="N100"/>
      <c r="P100"/>
      <c r="Q100"/>
      <c r="R100"/>
    </row>
    <row r="101" spans="3:18" ht="24.75" customHeight="1" x14ac:dyDescent="0.25">
      <c r="C101" s="49"/>
      <c r="D101" s="50"/>
      <c r="E101" s="50"/>
      <c r="F101" s="50"/>
      <c r="G101" s="50"/>
      <c r="H101" s="51"/>
      <c r="I101" s="52"/>
      <c r="J101" s="52"/>
      <c r="K101" s="52"/>
      <c r="L101"/>
      <c r="M101"/>
      <c r="N101"/>
      <c r="P101"/>
      <c r="Q101"/>
      <c r="R101"/>
    </row>
    <row r="102" spans="3:18" ht="24.75" customHeight="1" x14ac:dyDescent="0.25">
      <c r="C102" s="49"/>
      <c r="D102" s="50"/>
      <c r="E102" s="50"/>
      <c r="F102" s="50"/>
      <c r="G102" s="50"/>
      <c r="H102" s="51"/>
      <c r="I102" s="52"/>
      <c r="J102" s="52"/>
      <c r="K102" s="52"/>
      <c r="L102"/>
      <c r="M102"/>
      <c r="N102"/>
      <c r="P102"/>
      <c r="Q102"/>
      <c r="R102"/>
    </row>
    <row r="103" spans="3:18" ht="24.75" customHeight="1" x14ac:dyDescent="0.25">
      <c r="C103" s="49"/>
      <c r="D103" s="50"/>
      <c r="E103" s="50"/>
      <c r="F103" s="50"/>
      <c r="G103" s="50"/>
      <c r="H103" s="51"/>
      <c r="I103" s="52"/>
      <c r="J103" s="52"/>
      <c r="K103" s="52"/>
      <c r="L103"/>
      <c r="M103"/>
      <c r="N103"/>
      <c r="P103"/>
      <c r="Q103"/>
      <c r="R103"/>
    </row>
    <row r="104" spans="3:18" ht="24.75" customHeight="1" x14ac:dyDescent="0.25">
      <c r="C104" s="49"/>
      <c r="D104" s="50"/>
      <c r="E104" s="50"/>
      <c r="F104" s="50"/>
      <c r="G104" s="50"/>
      <c r="H104" s="51"/>
      <c r="I104" s="52"/>
      <c r="J104" s="52"/>
      <c r="K104" s="52"/>
      <c r="L104"/>
      <c r="M104"/>
      <c r="N104"/>
      <c r="P104"/>
      <c r="Q104"/>
      <c r="R104"/>
    </row>
    <row r="105" spans="3:18" ht="24.75" customHeight="1" x14ac:dyDescent="0.25">
      <c r="C105" s="49"/>
      <c r="D105" s="50"/>
      <c r="E105" s="50"/>
      <c r="F105" s="50"/>
      <c r="G105" s="50"/>
      <c r="H105" s="51"/>
      <c r="I105" s="52"/>
      <c r="J105" s="52"/>
      <c r="K105" s="52"/>
      <c r="L105"/>
      <c r="M105"/>
      <c r="N105"/>
      <c r="P105"/>
      <c r="Q105"/>
      <c r="R105"/>
    </row>
    <row r="106" spans="3:18" ht="24.75" customHeight="1" x14ac:dyDescent="0.25">
      <c r="C106" s="49"/>
      <c r="D106" s="50"/>
      <c r="E106" s="50"/>
      <c r="F106" s="50"/>
      <c r="G106" s="50"/>
      <c r="H106" s="51"/>
      <c r="I106" s="52"/>
      <c r="J106" s="52"/>
      <c r="K106" s="52"/>
      <c r="L106"/>
      <c r="M106"/>
      <c r="N106"/>
      <c r="P106"/>
      <c r="Q106"/>
      <c r="R106"/>
    </row>
    <row r="107" spans="3:18" ht="24.75" customHeight="1" x14ac:dyDescent="0.25">
      <c r="C107" s="49"/>
      <c r="D107" s="50"/>
      <c r="E107" s="50"/>
      <c r="F107" s="50"/>
      <c r="G107" s="50"/>
      <c r="H107" s="51"/>
      <c r="I107" s="52"/>
      <c r="J107" s="52"/>
      <c r="K107" s="52"/>
      <c r="L107"/>
      <c r="M107"/>
      <c r="N107"/>
      <c r="P107"/>
      <c r="Q107"/>
      <c r="R107"/>
    </row>
  </sheetData>
  <sheetProtection password="EFEB" sheet="1" objects="1" scenarios="1"/>
  <mergeCells count="6">
    <mergeCell ref="D28:J28"/>
    <mergeCell ref="B2:R2"/>
    <mergeCell ref="L3:N3"/>
    <mergeCell ref="P3:R3"/>
    <mergeCell ref="I4:K4"/>
    <mergeCell ref="D26:J26"/>
  </mergeCells>
  <pageMargins left="0.511811024" right="0.511811024" top="0.78740157499999996" bottom="0.78740157499999996" header="0.31496062000000002" footer="0.31496062000000002"/>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
  <dimension ref="B1:AJ112"/>
  <sheetViews>
    <sheetView topLeftCell="A4" workbookViewId="0">
      <selection activeCell="E11" sqref="E11"/>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4" width="14.14062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140625" customWidth="1"/>
    <col min="254" max="254" width="13.140625" customWidth="1"/>
    <col min="255" max="255" width="8.140625" customWidth="1"/>
    <col min="256" max="256" width="10.85546875" customWidth="1"/>
    <col min="257" max="257" width="38.85546875" customWidth="1"/>
    <col min="258" max="258" width="25.5703125" customWidth="1"/>
    <col min="262" max="262" width="44.85546875" customWidth="1"/>
    <col min="263" max="264" width="14.14062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140625" customWidth="1"/>
    <col min="510" max="510" width="13.140625" customWidth="1"/>
    <col min="511" max="511" width="8.140625" customWidth="1"/>
    <col min="512" max="512" width="10.85546875" customWidth="1"/>
    <col min="513" max="513" width="38.85546875" customWidth="1"/>
    <col min="514" max="514" width="25.5703125" customWidth="1"/>
    <col min="518" max="518" width="44.85546875" customWidth="1"/>
    <col min="519" max="520" width="14.14062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140625" customWidth="1"/>
    <col min="766" max="766" width="13.140625" customWidth="1"/>
    <col min="767" max="767" width="8.140625" customWidth="1"/>
    <col min="768" max="768" width="10.85546875" customWidth="1"/>
    <col min="769" max="769" width="38.85546875" customWidth="1"/>
    <col min="770" max="770" width="25.5703125" customWidth="1"/>
    <col min="774" max="774" width="44.85546875" customWidth="1"/>
    <col min="775" max="776" width="14.14062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140625" customWidth="1"/>
    <col min="1022" max="1022" width="13.140625" customWidth="1"/>
    <col min="1023" max="1023" width="8.140625" customWidth="1"/>
    <col min="1024" max="1024" width="10.85546875" customWidth="1"/>
    <col min="1025" max="1025" width="38.85546875" customWidth="1"/>
    <col min="1026" max="1026" width="25.5703125" customWidth="1"/>
    <col min="1030" max="1030" width="44.85546875" customWidth="1"/>
    <col min="1031" max="1032" width="14.14062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140625" customWidth="1"/>
    <col min="1278" max="1278" width="13.140625" customWidth="1"/>
    <col min="1279" max="1279" width="8.140625" customWidth="1"/>
    <col min="1280" max="1280" width="10.85546875" customWidth="1"/>
    <col min="1281" max="1281" width="38.85546875" customWidth="1"/>
    <col min="1282" max="1282" width="25.5703125" customWidth="1"/>
    <col min="1286" max="1286" width="44.85546875" customWidth="1"/>
    <col min="1287" max="1288" width="14.14062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140625" customWidth="1"/>
    <col min="1534" max="1534" width="13.140625" customWidth="1"/>
    <col min="1535" max="1535" width="8.140625" customWidth="1"/>
    <col min="1536" max="1536" width="10.85546875" customWidth="1"/>
    <col min="1537" max="1537" width="38.85546875" customWidth="1"/>
    <col min="1538" max="1538" width="25.5703125" customWidth="1"/>
    <col min="1542" max="1542" width="44.85546875" customWidth="1"/>
    <col min="1543" max="1544" width="14.14062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140625" customWidth="1"/>
    <col min="1790" max="1790" width="13.140625" customWidth="1"/>
    <col min="1791" max="1791" width="8.140625" customWidth="1"/>
    <col min="1792" max="1792" width="10.85546875" customWidth="1"/>
    <col min="1793" max="1793" width="38.85546875" customWidth="1"/>
    <col min="1794" max="1794" width="25.5703125" customWidth="1"/>
    <col min="1798" max="1798" width="44.85546875" customWidth="1"/>
    <col min="1799" max="1800" width="14.14062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140625" customWidth="1"/>
    <col min="2046" max="2046" width="13.140625" customWidth="1"/>
    <col min="2047" max="2047" width="8.140625" customWidth="1"/>
    <col min="2048" max="2048" width="10.85546875" customWidth="1"/>
    <col min="2049" max="2049" width="38.85546875" customWidth="1"/>
    <col min="2050" max="2050" width="25.5703125" customWidth="1"/>
    <col min="2054" max="2054" width="44.85546875" customWidth="1"/>
    <col min="2055" max="2056" width="14.14062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140625" customWidth="1"/>
    <col min="2302" max="2302" width="13.140625" customWidth="1"/>
    <col min="2303" max="2303" width="8.140625" customWidth="1"/>
    <col min="2304" max="2304" width="10.85546875" customWidth="1"/>
    <col min="2305" max="2305" width="38.85546875" customWidth="1"/>
    <col min="2306" max="2306" width="25.5703125" customWidth="1"/>
    <col min="2310" max="2310" width="44.85546875" customWidth="1"/>
    <col min="2311" max="2312" width="14.14062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140625" customWidth="1"/>
    <col min="2558" max="2558" width="13.140625" customWidth="1"/>
    <col min="2559" max="2559" width="8.140625" customWidth="1"/>
    <col min="2560" max="2560" width="10.85546875" customWidth="1"/>
    <col min="2561" max="2561" width="38.85546875" customWidth="1"/>
    <col min="2562" max="2562" width="25.5703125" customWidth="1"/>
    <col min="2566" max="2566" width="44.85546875" customWidth="1"/>
    <col min="2567" max="2568" width="14.14062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140625" customWidth="1"/>
    <col min="2814" max="2814" width="13.140625" customWidth="1"/>
    <col min="2815" max="2815" width="8.140625" customWidth="1"/>
    <col min="2816" max="2816" width="10.85546875" customWidth="1"/>
    <col min="2817" max="2817" width="38.85546875" customWidth="1"/>
    <col min="2818" max="2818" width="25.5703125" customWidth="1"/>
    <col min="2822" max="2822" width="44.85546875" customWidth="1"/>
    <col min="2823" max="2824" width="14.14062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140625" customWidth="1"/>
    <col min="3070" max="3070" width="13.140625" customWidth="1"/>
    <col min="3071" max="3071" width="8.140625" customWidth="1"/>
    <col min="3072" max="3072" width="10.85546875" customWidth="1"/>
    <col min="3073" max="3073" width="38.85546875" customWidth="1"/>
    <col min="3074" max="3074" width="25.5703125" customWidth="1"/>
    <col min="3078" max="3078" width="44.85546875" customWidth="1"/>
    <col min="3079" max="3080" width="14.14062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140625" customWidth="1"/>
    <col min="3326" max="3326" width="13.140625" customWidth="1"/>
    <col min="3327" max="3327" width="8.140625" customWidth="1"/>
    <col min="3328" max="3328" width="10.85546875" customWidth="1"/>
    <col min="3329" max="3329" width="38.85546875" customWidth="1"/>
    <col min="3330" max="3330" width="25.5703125" customWidth="1"/>
    <col min="3334" max="3334" width="44.85546875" customWidth="1"/>
    <col min="3335" max="3336" width="14.14062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140625" customWidth="1"/>
    <col min="3582" max="3582" width="13.140625" customWidth="1"/>
    <col min="3583" max="3583" width="8.140625" customWidth="1"/>
    <col min="3584" max="3584" width="10.85546875" customWidth="1"/>
    <col min="3585" max="3585" width="38.85546875" customWidth="1"/>
    <col min="3586" max="3586" width="25.5703125" customWidth="1"/>
    <col min="3590" max="3590" width="44.85546875" customWidth="1"/>
    <col min="3591" max="3592" width="14.14062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140625" customWidth="1"/>
    <col min="3838" max="3838" width="13.140625" customWidth="1"/>
    <col min="3839" max="3839" width="8.140625" customWidth="1"/>
    <col min="3840" max="3840" width="10.85546875" customWidth="1"/>
    <col min="3841" max="3841" width="38.85546875" customWidth="1"/>
    <col min="3842" max="3842" width="25.5703125" customWidth="1"/>
    <col min="3846" max="3846" width="44.85546875" customWidth="1"/>
    <col min="3847" max="3848" width="14.14062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140625" customWidth="1"/>
    <col min="4094" max="4094" width="13.140625" customWidth="1"/>
    <col min="4095" max="4095" width="8.140625" customWidth="1"/>
    <col min="4096" max="4096" width="10.85546875" customWidth="1"/>
    <col min="4097" max="4097" width="38.85546875" customWidth="1"/>
    <col min="4098" max="4098" width="25.5703125" customWidth="1"/>
    <col min="4102" max="4102" width="44.85546875" customWidth="1"/>
    <col min="4103" max="4104" width="14.14062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140625" customWidth="1"/>
    <col min="4350" max="4350" width="13.140625" customWidth="1"/>
    <col min="4351" max="4351" width="8.140625" customWidth="1"/>
    <col min="4352" max="4352" width="10.85546875" customWidth="1"/>
    <col min="4353" max="4353" width="38.85546875" customWidth="1"/>
    <col min="4354" max="4354" width="25.5703125" customWidth="1"/>
    <col min="4358" max="4358" width="44.85546875" customWidth="1"/>
    <col min="4359" max="4360" width="14.14062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140625" customWidth="1"/>
    <col min="4606" max="4606" width="13.140625" customWidth="1"/>
    <col min="4607" max="4607" width="8.140625" customWidth="1"/>
    <col min="4608" max="4608" width="10.85546875" customWidth="1"/>
    <col min="4609" max="4609" width="38.85546875" customWidth="1"/>
    <col min="4610" max="4610" width="25.5703125" customWidth="1"/>
    <col min="4614" max="4614" width="44.85546875" customWidth="1"/>
    <col min="4615" max="4616" width="14.14062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140625" customWidth="1"/>
    <col min="4862" max="4862" width="13.140625" customWidth="1"/>
    <col min="4863" max="4863" width="8.140625" customWidth="1"/>
    <col min="4864" max="4864" width="10.85546875" customWidth="1"/>
    <col min="4865" max="4865" width="38.85546875" customWidth="1"/>
    <col min="4866" max="4866" width="25.5703125" customWidth="1"/>
    <col min="4870" max="4870" width="44.85546875" customWidth="1"/>
    <col min="4871" max="4872" width="14.14062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140625" customWidth="1"/>
    <col min="5118" max="5118" width="13.140625" customWidth="1"/>
    <col min="5119" max="5119" width="8.140625" customWidth="1"/>
    <col min="5120" max="5120" width="10.85546875" customWidth="1"/>
    <col min="5121" max="5121" width="38.85546875" customWidth="1"/>
    <col min="5122" max="5122" width="25.5703125" customWidth="1"/>
    <col min="5126" max="5126" width="44.85546875" customWidth="1"/>
    <col min="5127" max="5128" width="14.14062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140625" customWidth="1"/>
    <col min="5374" max="5374" width="13.140625" customWidth="1"/>
    <col min="5375" max="5375" width="8.140625" customWidth="1"/>
    <col min="5376" max="5376" width="10.85546875" customWidth="1"/>
    <col min="5377" max="5377" width="38.85546875" customWidth="1"/>
    <col min="5378" max="5378" width="25.5703125" customWidth="1"/>
    <col min="5382" max="5382" width="44.85546875" customWidth="1"/>
    <col min="5383" max="5384" width="14.14062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140625" customWidth="1"/>
    <col min="5630" max="5630" width="13.140625" customWidth="1"/>
    <col min="5631" max="5631" width="8.140625" customWidth="1"/>
    <col min="5632" max="5632" width="10.85546875" customWidth="1"/>
    <col min="5633" max="5633" width="38.85546875" customWidth="1"/>
    <col min="5634" max="5634" width="25.5703125" customWidth="1"/>
    <col min="5638" max="5638" width="44.85546875" customWidth="1"/>
    <col min="5639" max="5640" width="14.14062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140625" customWidth="1"/>
    <col min="5886" max="5886" width="13.140625" customWidth="1"/>
    <col min="5887" max="5887" width="8.140625" customWidth="1"/>
    <col min="5888" max="5888" width="10.85546875" customWidth="1"/>
    <col min="5889" max="5889" width="38.85546875" customWidth="1"/>
    <col min="5890" max="5890" width="25.5703125" customWidth="1"/>
    <col min="5894" max="5894" width="44.85546875" customWidth="1"/>
    <col min="5895" max="5896" width="14.14062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140625" customWidth="1"/>
    <col min="6142" max="6142" width="13.140625" customWidth="1"/>
    <col min="6143" max="6143" width="8.140625" customWidth="1"/>
    <col min="6144" max="6144" width="10.85546875" customWidth="1"/>
    <col min="6145" max="6145" width="38.85546875" customWidth="1"/>
    <col min="6146" max="6146" width="25.5703125" customWidth="1"/>
    <col min="6150" max="6150" width="44.85546875" customWidth="1"/>
    <col min="6151" max="6152" width="14.14062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140625" customWidth="1"/>
    <col min="6398" max="6398" width="13.140625" customWidth="1"/>
    <col min="6399" max="6399" width="8.140625" customWidth="1"/>
    <col min="6400" max="6400" width="10.85546875" customWidth="1"/>
    <col min="6401" max="6401" width="38.85546875" customWidth="1"/>
    <col min="6402" max="6402" width="25.5703125" customWidth="1"/>
    <col min="6406" max="6406" width="44.85546875" customWidth="1"/>
    <col min="6407" max="6408" width="14.14062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140625" customWidth="1"/>
    <col min="6654" max="6654" width="13.140625" customWidth="1"/>
    <col min="6655" max="6655" width="8.140625" customWidth="1"/>
    <col min="6656" max="6656" width="10.85546875" customWidth="1"/>
    <col min="6657" max="6657" width="38.85546875" customWidth="1"/>
    <col min="6658" max="6658" width="25.5703125" customWidth="1"/>
    <col min="6662" max="6662" width="44.85546875" customWidth="1"/>
    <col min="6663" max="6664" width="14.14062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140625" customWidth="1"/>
    <col min="6910" max="6910" width="13.140625" customWidth="1"/>
    <col min="6911" max="6911" width="8.140625" customWidth="1"/>
    <col min="6912" max="6912" width="10.85546875" customWidth="1"/>
    <col min="6913" max="6913" width="38.85546875" customWidth="1"/>
    <col min="6914" max="6914" width="25.5703125" customWidth="1"/>
    <col min="6918" max="6918" width="44.85546875" customWidth="1"/>
    <col min="6919" max="6920" width="14.14062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140625" customWidth="1"/>
    <col min="7166" max="7166" width="13.140625" customWidth="1"/>
    <col min="7167" max="7167" width="8.140625" customWidth="1"/>
    <col min="7168" max="7168" width="10.85546875" customWidth="1"/>
    <col min="7169" max="7169" width="38.85546875" customWidth="1"/>
    <col min="7170" max="7170" width="25.5703125" customWidth="1"/>
    <col min="7174" max="7174" width="44.85546875" customWidth="1"/>
    <col min="7175" max="7176" width="14.14062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140625" customWidth="1"/>
    <col min="7422" max="7422" width="13.140625" customWidth="1"/>
    <col min="7423" max="7423" width="8.140625" customWidth="1"/>
    <col min="7424" max="7424" width="10.85546875" customWidth="1"/>
    <col min="7425" max="7425" width="38.85546875" customWidth="1"/>
    <col min="7426" max="7426" width="25.5703125" customWidth="1"/>
    <col min="7430" max="7430" width="44.85546875" customWidth="1"/>
    <col min="7431" max="7432" width="14.14062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140625" customWidth="1"/>
    <col min="7678" max="7678" width="13.140625" customWidth="1"/>
    <col min="7679" max="7679" width="8.140625" customWidth="1"/>
    <col min="7680" max="7680" width="10.85546875" customWidth="1"/>
    <col min="7681" max="7681" width="38.85546875" customWidth="1"/>
    <col min="7682" max="7682" width="25.5703125" customWidth="1"/>
    <col min="7686" max="7686" width="44.85546875" customWidth="1"/>
    <col min="7687" max="7688" width="14.14062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140625" customWidth="1"/>
    <col min="7934" max="7934" width="13.140625" customWidth="1"/>
    <col min="7935" max="7935" width="8.140625" customWidth="1"/>
    <col min="7936" max="7936" width="10.85546875" customWidth="1"/>
    <col min="7937" max="7937" width="38.85546875" customWidth="1"/>
    <col min="7938" max="7938" width="25.5703125" customWidth="1"/>
    <col min="7942" max="7942" width="44.85546875" customWidth="1"/>
    <col min="7943" max="7944" width="14.14062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140625" customWidth="1"/>
    <col min="8190" max="8190" width="13.140625" customWidth="1"/>
    <col min="8191" max="8191" width="8.140625" customWidth="1"/>
    <col min="8192" max="8192" width="10.85546875" customWidth="1"/>
    <col min="8193" max="8193" width="38.85546875" customWidth="1"/>
    <col min="8194" max="8194" width="25.5703125" customWidth="1"/>
    <col min="8198" max="8198" width="44.85546875" customWidth="1"/>
    <col min="8199" max="8200" width="14.14062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140625" customWidth="1"/>
    <col min="8446" max="8446" width="13.140625" customWidth="1"/>
    <col min="8447" max="8447" width="8.140625" customWidth="1"/>
    <col min="8448" max="8448" width="10.85546875" customWidth="1"/>
    <col min="8449" max="8449" width="38.85546875" customWidth="1"/>
    <col min="8450" max="8450" width="25.5703125" customWidth="1"/>
    <col min="8454" max="8454" width="44.85546875" customWidth="1"/>
    <col min="8455" max="8456" width="14.14062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140625" customWidth="1"/>
    <col min="8702" max="8702" width="13.140625" customWidth="1"/>
    <col min="8703" max="8703" width="8.140625" customWidth="1"/>
    <col min="8704" max="8704" width="10.85546875" customWidth="1"/>
    <col min="8705" max="8705" width="38.85546875" customWidth="1"/>
    <col min="8706" max="8706" width="25.5703125" customWidth="1"/>
    <col min="8710" max="8710" width="44.85546875" customWidth="1"/>
    <col min="8711" max="8712" width="14.14062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140625" customWidth="1"/>
    <col min="8958" max="8958" width="13.140625" customWidth="1"/>
    <col min="8959" max="8959" width="8.140625" customWidth="1"/>
    <col min="8960" max="8960" width="10.85546875" customWidth="1"/>
    <col min="8961" max="8961" width="38.85546875" customWidth="1"/>
    <col min="8962" max="8962" width="25.5703125" customWidth="1"/>
    <col min="8966" max="8966" width="44.85546875" customWidth="1"/>
    <col min="8967" max="8968" width="14.14062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140625" customWidth="1"/>
    <col min="9214" max="9214" width="13.140625" customWidth="1"/>
    <col min="9215" max="9215" width="8.140625" customWidth="1"/>
    <col min="9216" max="9216" width="10.85546875" customWidth="1"/>
    <col min="9217" max="9217" width="38.85546875" customWidth="1"/>
    <col min="9218" max="9218" width="25.5703125" customWidth="1"/>
    <col min="9222" max="9222" width="44.85546875" customWidth="1"/>
    <col min="9223" max="9224" width="14.14062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140625" customWidth="1"/>
    <col min="9470" max="9470" width="13.140625" customWidth="1"/>
    <col min="9471" max="9471" width="8.140625" customWidth="1"/>
    <col min="9472" max="9472" width="10.85546875" customWidth="1"/>
    <col min="9473" max="9473" width="38.85546875" customWidth="1"/>
    <col min="9474" max="9474" width="25.5703125" customWidth="1"/>
    <col min="9478" max="9478" width="44.85546875" customWidth="1"/>
    <col min="9479" max="9480" width="14.14062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140625" customWidth="1"/>
    <col min="9726" max="9726" width="13.140625" customWidth="1"/>
    <col min="9727" max="9727" width="8.140625" customWidth="1"/>
    <col min="9728" max="9728" width="10.85546875" customWidth="1"/>
    <col min="9729" max="9729" width="38.85546875" customWidth="1"/>
    <col min="9730" max="9730" width="25.5703125" customWidth="1"/>
    <col min="9734" max="9734" width="44.85546875" customWidth="1"/>
    <col min="9735" max="9736" width="14.14062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140625" customWidth="1"/>
    <col min="9982" max="9982" width="13.140625" customWidth="1"/>
    <col min="9983" max="9983" width="8.140625" customWidth="1"/>
    <col min="9984" max="9984" width="10.85546875" customWidth="1"/>
    <col min="9985" max="9985" width="38.85546875" customWidth="1"/>
    <col min="9986" max="9986" width="25.5703125" customWidth="1"/>
    <col min="9990" max="9990" width="44.85546875" customWidth="1"/>
    <col min="9991" max="9992" width="14.14062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140625" customWidth="1"/>
    <col min="10238" max="10238" width="13.1406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8" width="14.14062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140625" customWidth="1"/>
    <col min="10494" max="10494" width="13.1406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4" width="14.14062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140625" customWidth="1"/>
    <col min="10750" max="10750" width="13.1406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60" width="14.14062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140625" customWidth="1"/>
    <col min="11006" max="11006" width="13.1406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6" width="14.14062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140625" customWidth="1"/>
    <col min="11262" max="11262" width="13.1406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2" width="14.14062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140625" customWidth="1"/>
    <col min="11518" max="11518" width="13.1406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8" width="14.14062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140625" customWidth="1"/>
    <col min="11774" max="11774" width="13.1406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4" width="14.14062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140625" customWidth="1"/>
    <col min="12030" max="12030" width="13.1406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40" width="14.14062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140625" customWidth="1"/>
    <col min="12286" max="12286" width="13.1406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6" width="14.14062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140625" customWidth="1"/>
    <col min="12542" max="12542" width="13.1406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2" width="14.14062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140625" customWidth="1"/>
    <col min="12798" max="12798" width="13.1406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8" width="14.14062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140625" customWidth="1"/>
    <col min="13054" max="13054" width="13.1406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4" width="14.14062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140625" customWidth="1"/>
    <col min="13310" max="13310" width="13.1406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20" width="14.14062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140625" customWidth="1"/>
    <col min="13566" max="13566" width="13.1406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6" width="14.14062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140625" customWidth="1"/>
    <col min="13822" max="13822" width="13.1406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2" width="14.14062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140625" customWidth="1"/>
    <col min="14078" max="14078" width="13.1406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8" width="14.14062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140625" customWidth="1"/>
    <col min="14334" max="14334" width="13.1406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4" width="14.14062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140625" customWidth="1"/>
    <col min="14590" max="14590" width="13.1406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600" width="14.14062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140625" customWidth="1"/>
    <col min="14846" max="14846" width="13.1406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6" width="14.14062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140625" customWidth="1"/>
    <col min="15102" max="15102" width="13.1406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2" width="14.14062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140625" customWidth="1"/>
    <col min="15358" max="15358" width="13.1406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8" width="14.14062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140625" customWidth="1"/>
    <col min="15614" max="15614" width="13.1406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4" width="14.14062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140625" customWidth="1"/>
    <col min="15870" max="15870" width="13.1406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80" width="14.14062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140625" customWidth="1"/>
    <col min="16126" max="16126" width="13.1406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6" width="14.14062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1" spans="2:36" ht="24.75" customHeight="1" x14ac:dyDescent="0.25"/>
    <row r="2" spans="2:36" s="7" customFormat="1" ht="24.75" customHeight="1" thickBot="1" x14ac:dyDescent="0.3">
      <c r="B2" s="287" t="s">
        <v>705</v>
      </c>
      <c r="C2" s="287"/>
      <c r="D2" s="287"/>
      <c r="E2" s="287"/>
      <c r="F2" s="287"/>
      <c r="G2" s="287"/>
      <c r="H2" s="287"/>
      <c r="I2" s="287"/>
      <c r="J2" s="287"/>
      <c r="K2" s="287"/>
      <c r="L2" s="296"/>
      <c r="M2" s="296"/>
      <c r="N2" s="296"/>
      <c r="O2" s="296"/>
      <c r="P2" s="296"/>
      <c r="Q2" s="296"/>
      <c r="R2" s="296"/>
      <c r="S2" s="8"/>
      <c r="T2" s="8"/>
      <c r="U2" s="8"/>
      <c r="V2" s="8"/>
      <c r="W2" s="8"/>
      <c r="X2" s="8"/>
      <c r="Y2" s="8"/>
      <c r="Z2" s="8"/>
      <c r="AA2" s="8"/>
      <c r="AB2" s="8"/>
      <c r="AC2" s="8"/>
      <c r="AD2" s="8"/>
      <c r="AE2" s="8"/>
      <c r="AF2" s="8"/>
      <c r="AG2" s="8"/>
      <c r="AH2" s="8"/>
      <c r="AI2" s="8"/>
      <c r="AJ2" s="8"/>
    </row>
    <row r="3" spans="2:36" s="7" customFormat="1" ht="32.25" customHeight="1" thickBot="1" x14ac:dyDescent="0.3">
      <c r="B3" s="89"/>
      <c r="C3" s="89"/>
      <c r="D3" s="89"/>
      <c r="E3" s="241"/>
      <c r="F3" s="241"/>
      <c r="G3" s="241"/>
      <c r="H3" s="89"/>
      <c r="I3" s="89"/>
      <c r="J3" s="89"/>
      <c r="K3" s="150"/>
      <c r="L3" s="302" t="s">
        <v>310</v>
      </c>
      <c r="M3" s="303"/>
      <c r="N3" s="304"/>
      <c r="O3" s="139" t="s">
        <v>317</v>
      </c>
      <c r="P3" s="291" t="s">
        <v>318</v>
      </c>
      <c r="Q3" s="291"/>
      <c r="R3" s="292"/>
      <c r="S3" s="8"/>
      <c r="T3" s="8"/>
      <c r="U3" s="8"/>
      <c r="V3" s="8"/>
      <c r="W3" s="8"/>
      <c r="X3" s="8"/>
      <c r="Y3" s="8"/>
      <c r="Z3" s="8"/>
      <c r="AA3" s="8"/>
      <c r="AB3" s="8"/>
      <c r="AC3" s="8"/>
      <c r="AD3" s="8"/>
      <c r="AE3" s="8"/>
      <c r="AF3" s="8"/>
      <c r="AG3" s="8"/>
      <c r="AH3" s="8"/>
      <c r="AI3" s="8"/>
      <c r="AJ3" s="8"/>
    </row>
    <row r="4" spans="2:36" ht="38.25" customHeight="1" thickBot="1" x14ac:dyDescent="0.3">
      <c r="B4" s="110" t="s">
        <v>0</v>
      </c>
      <c r="C4" s="217" t="s">
        <v>466</v>
      </c>
      <c r="D4" s="111" t="s">
        <v>1</v>
      </c>
      <c r="E4" s="264" t="s">
        <v>463</v>
      </c>
      <c r="F4" s="218" t="s">
        <v>465</v>
      </c>
      <c r="G4" s="215" t="s">
        <v>677</v>
      </c>
      <c r="H4" s="263" t="s">
        <v>2</v>
      </c>
      <c r="I4" s="297" t="s">
        <v>3</v>
      </c>
      <c r="J4" s="298"/>
      <c r="K4" s="299"/>
      <c r="L4" s="204" t="s">
        <v>311</v>
      </c>
      <c r="M4" s="219" t="s">
        <v>312</v>
      </c>
      <c r="N4" s="219" t="s">
        <v>313</v>
      </c>
      <c r="O4" s="281" t="s">
        <v>311</v>
      </c>
      <c r="P4" s="221" t="s">
        <v>4</v>
      </c>
      <c r="Q4" s="222" t="s">
        <v>5</v>
      </c>
      <c r="R4" s="208" t="s">
        <v>6</v>
      </c>
    </row>
    <row r="5" spans="2:36" s="17" customFormat="1" ht="80.25" customHeight="1" x14ac:dyDescent="0.2">
      <c r="B5" s="118">
        <v>1</v>
      </c>
      <c r="C5" s="169" t="s">
        <v>370</v>
      </c>
      <c r="D5" s="122" t="s">
        <v>230</v>
      </c>
      <c r="E5" s="224" t="s">
        <v>646</v>
      </c>
      <c r="F5" s="192" t="s">
        <v>678</v>
      </c>
      <c r="G5" s="120" t="str">
        <f>UPPER(F5)</f>
        <v>MINISTRAR TREINAMENTO EXÉRCITO - PROJETO AGHUSE - IMERSÃO PARA TREINAMENTO PARA IMPLANTAÇÃO DO AGHUSE - MÓDULOS PRESCRIÇÃO ENFERMAGEM, ANAMNESE, EVOLUÇÃO E CONTROLE DE PACIENTES, BEM COMO VALIDAR O COMPLEMENTO CADASTRAL E RETIRAR DÚVIDAS NEGOCIAIS.</v>
      </c>
      <c r="H5" s="120" t="s">
        <v>9</v>
      </c>
      <c r="I5" s="121">
        <v>43374</v>
      </c>
      <c r="J5" s="122">
        <v>7</v>
      </c>
      <c r="K5" s="123">
        <v>8</v>
      </c>
      <c r="L5" s="148">
        <v>102.67</v>
      </c>
      <c r="M5" s="148">
        <v>37.590000000000003</v>
      </c>
      <c r="N5" s="148">
        <v>0</v>
      </c>
      <c r="O5" s="151">
        <f>68.62+76</f>
        <v>144.62</v>
      </c>
      <c r="P5" s="125">
        <f>1530.98+668.49</f>
        <v>2199.4700000000003</v>
      </c>
      <c r="Q5" s="126">
        <f>251.9+70.4</f>
        <v>322.3</v>
      </c>
      <c r="R5" s="127">
        <f t="shared" ref="R5:R29" si="0">L5+M5+N5+O5+P5+Q5</f>
        <v>2806.6500000000005</v>
      </c>
      <c r="S5" s="16"/>
      <c r="T5" s="16"/>
      <c r="U5" s="16"/>
      <c r="V5" s="16"/>
    </row>
    <row r="6" spans="2:36" s="17" customFormat="1" ht="80.25" customHeight="1" x14ac:dyDescent="0.2">
      <c r="B6" s="99">
        <v>2</v>
      </c>
      <c r="C6" s="57" t="s">
        <v>371</v>
      </c>
      <c r="D6" s="10" t="s">
        <v>276</v>
      </c>
      <c r="E6" s="216" t="s">
        <v>693</v>
      </c>
      <c r="F6" s="193" t="s">
        <v>678</v>
      </c>
      <c r="G6" s="9" t="str">
        <f>UPPER(F6)</f>
        <v>MINISTRAR TREINAMENTO EXÉRCITO - PROJETO AGHUSE - IMERSÃO PARA TREINAMENTO PARA IMPLANTAÇÃO DO AGHUSE - MÓDULOS PRESCRIÇÃO ENFERMAGEM, ANAMNESE, EVOLUÇÃO E CONTROLE DE PACIENTES, BEM COMO VALIDAR O COMPLEMENTO CADASTRAL E RETIRAR DÚVIDAS NEGOCIAIS.</v>
      </c>
      <c r="H6" s="9" t="s">
        <v>9</v>
      </c>
      <c r="I6" s="18">
        <v>43374</v>
      </c>
      <c r="J6" s="10">
        <v>4</v>
      </c>
      <c r="K6" s="11">
        <v>5</v>
      </c>
      <c r="L6" s="58">
        <v>120</v>
      </c>
      <c r="M6" s="58">
        <v>0</v>
      </c>
      <c r="N6" s="58">
        <v>0</v>
      </c>
      <c r="O6" s="12">
        <v>0</v>
      </c>
      <c r="P6" s="14">
        <f>879.98+749.39</f>
        <v>1629.37</v>
      </c>
      <c r="Q6" s="15">
        <f>251.9+72.6</f>
        <v>324.5</v>
      </c>
      <c r="R6" s="98">
        <f t="shared" si="0"/>
        <v>2073.87</v>
      </c>
      <c r="S6" s="16"/>
      <c r="T6" s="16"/>
      <c r="U6" s="16"/>
      <c r="V6" s="16"/>
    </row>
    <row r="7" spans="2:36" s="17" customFormat="1" ht="12.75" customHeight="1" x14ac:dyDescent="0.2">
      <c r="B7" s="99">
        <v>3</v>
      </c>
      <c r="C7" s="57" t="s">
        <v>372</v>
      </c>
      <c r="D7" s="10" t="s">
        <v>391</v>
      </c>
      <c r="E7" s="216" t="s">
        <v>694</v>
      </c>
      <c r="F7" s="214" t="s">
        <v>679</v>
      </c>
      <c r="G7" s="10" t="str">
        <f t="shared" ref="G7:G29" si="1">UPPER(F7)</f>
        <v>MINISTRAR TREINAMENTO AGHUSE - EXÉRCITO</v>
      </c>
      <c r="H7" s="9" t="s">
        <v>9</v>
      </c>
      <c r="I7" s="18">
        <v>43374</v>
      </c>
      <c r="J7" s="10">
        <v>3</v>
      </c>
      <c r="K7" s="11">
        <v>4</v>
      </c>
      <c r="L7" s="58">
        <v>76.3</v>
      </c>
      <c r="M7" s="58">
        <v>26</v>
      </c>
      <c r="N7" s="58">
        <v>0</v>
      </c>
      <c r="O7" s="12">
        <v>0</v>
      </c>
      <c r="P7" s="14">
        <v>2320.4699999999998</v>
      </c>
      <c r="Q7" s="15">
        <f>251.9+48.4</f>
        <v>300.3</v>
      </c>
      <c r="R7" s="98">
        <f t="shared" si="0"/>
        <v>2723.07</v>
      </c>
      <c r="S7" s="16"/>
      <c r="T7" s="16"/>
      <c r="U7" s="16"/>
      <c r="V7" s="16"/>
    </row>
    <row r="8" spans="2:36" s="17" customFormat="1" ht="12.75" customHeight="1" x14ac:dyDescent="0.2">
      <c r="B8" s="99">
        <v>4</v>
      </c>
      <c r="C8" s="57" t="s">
        <v>373</v>
      </c>
      <c r="D8" s="10" t="s">
        <v>17</v>
      </c>
      <c r="E8" s="9" t="s">
        <v>478</v>
      </c>
      <c r="F8" s="279" t="s">
        <v>680</v>
      </c>
      <c r="G8" s="10" t="str">
        <f t="shared" si="1"/>
        <v>REUNIÃO DO CONSELHO DIRETOR</v>
      </c>
      <c r="H8" s="9" t="s">
        <v>18</v>
      </c>
      <c r="I8" s="18">
        <v>43374</v>
      </c>
      <c r="J8" s="62">
        <v>22</v>
      </c>
      <c r="K8" s="152">
        <v>22</v>
      </c>
      <c r="L8" s="58">
        <v>0</v>
      </c>
      <c r="M8" s="58">
        <v>0</v>
      </c>
      <c r="N8" s="58">
        <v>0</v>
      </c>
      <c r="O8" s="54">
        <v>0</v>
      </c>
      <c r="P8" s="14">
        <f>693.05+862.98</f>
        <v>1556.03</v>
      </c>
      <c r="Q8" s="15">
        <v>0</v>
      </c>
      <c r="R8" s="98">
        <f t="shared" si="0"/>
        <v>1556.03</v>
      </c>
      <c r="S8" s="16"/>
      <c r="T8" s="16"/>
      <c r="U8" s="16"/>
      <c r="V8" s="16"/>
    </row>
    <row r="9" spans="2:36" s="17" customFormat="1" ht="12.75" customHeight="1" x14ac:dyDescent="0.2">
      <c r="B9" s="99">
        <v>5</v>
      </c>
      <c r="C9" s="56" t="s">
        <v>374</v>
      </c>
      <c r="D9" s="10" t="s">
        <v>392</v>
      </c>
      <c r="E9" s="9" t="s">
        <v>478</v>
      </c>
      <c r="F9" s="279" t="s">
        <v>680</v>
      </c>
      <c r="G9" s="10" t="str">
        <f t="shared" si="1"/>
        <v>REUNIÃO DO CONSELHO DIRETOR</v>
      </c>
      <c r="H9" s="9" t="s">
        <v>402</v>
      </c>
      <c r="I9" s="18">
        <v>43374</v>
      </c>
      <c r="J9" s="62">
        <v>22</v>
      </c>
      <c r="K9" s="152">
        <v>22</v>
      </c>
      <c r="L9" s="58">
        <v>0</v>
      </c>
      <c r="M9" s="58">
        <v>0</v>
      </c>
      <c r="N9" s="58">
        <v>0</v>
      </c>
      <c r="O9" s="54">
        <v>0</v>
      </c>
      <c r="P9" s="14">
        <f>883.47+862.98</f>
        <v>1746.45</v>
      </c>
      <c r="Q9" s="15">
        <v>0</v>
      </c>
      <c r="R9" s="98">
        <f t="shared" si="0"/>
        <v>1746.45</v>
      </c>
      <c r="S9" s="16"/>
      <c r="T9" s="16"/>
      <c r="U9" s="16"/>
      <c r="V9" s="16"/>
    </row>
    <row r="10" spans="2:36" s="17" customFormat="1" ht="12.75" customHeight="1" x14ac:dyDescent="0.2">
      <c r="B10" s="99">
        <v>6</v>
      </c>
      <c r="C10" s="56" t="s">
        <v>375</v>
      </c>
      <c r="D10" s="10" t="s">
        <v>393</v>
      </c>
      <c r="E10" s="9" t="s">
        <v>478</v>
      </c>
      <c r="F10" s="279" t="s">
        <v>680</v>
      </c>
      <c r="G10" s="10" t="str">
        <f t="shared" si="1"/>
        <v>REUNIÃO DO CONSELHO DIRETOR</v>
      </c>
      <c r="H10" s="9" t="s">
        <v>24</v>
      </c>
      <c r="I10" s="18">
        <v>43374</v>
      </c>
      <c r="J10" s="62">
        <v>22</v>
      </c>
      <c r="K10" s="152">
        <v>22</v>
      </c>
      <c r="L10" s="58">
        <v>0</v>
      </c>
      <c r="M10" s="58">
        <v>0</v>
      </c>
      <c r="N10" s="58">
        <v>0</v>
      </c>
      <c r="O10" s="54">
        <v>0</v>
      </c>
      <c r="P10" s="14">
        <f>670.39+862.98</f>
        <v>1533.37</v>
      </c>
      <c r="Q10" s="15">
        <v>0</v>
      </c>
      <c r="R10" s="98">
        <f t="shared" si="0"/>
        <v>1533.37</v>
      </c>
      <c r="S10" s="16"/>
      <c r="T10" s="16"/>
      <c r="U10" s="16"/>
      <c r="V10" s="16"/>
    </row>
    <row r="11" spans="2:36" s="17" customFormat="1" ht="23.25" customHeight="1" x14ac:dyDescent="0.2">
      <c r="B11" s="99">
        <v>7</v>
      </c>
      <c r="C11" s="56" t="s">
        <v>376</v>
      </c>
      <c r="D11" s="10" t="s">
        <v>360</v>
      </c>
      <c r="E11" s="216" t="s">
        <v>676</v>
      </c>
      <c r="F11" s="193" t="s">
        <v>681</v>
      </c>
      <c r="G11" s="9" t="str">
        <f t="shared" si="1"/>
        <v>MINISTRAR TREINAMENTO DO MODULO DE EXAMES DO AGHUSE.</v>
      </c>
      <c r="H11" s="9" t="s">
        <v>161</v>
      </c>
      <c r="I11" s="18">
        <v>43374</v>
      </c>
      <c r="J11" s="10">
        <v>8</v>
      </c>
      <c r="K11" s="11">
        <v>11</v>
      </c>
      <c r="L11" s="58">
        <v>163.58000000000001</v>
      </c>
      <c r="M11" s="58">
        <v>0</v>
      </c>
      <c r="N11" s="58">
        <v>0</v>
      </c>
      <c r="O11" s="12">
        <v>0</v>
      </c>
      <c r="P11" s="14">
        <f>1181.08+1089.35</f>
        <v>2270.4299999999998</v>
      </c>
      <c r="Q11" s="15">
        <f>1067.85+57</f>
        <v>1124.8499999999999</v>
      </c>
      <c r="R11" s="98">
        <f t="shared" si="0"/>
        <v>3558.8599999999997</v>
      </c>
      <c r="S11" s="16"/>
      <c r="T11" s="16"/>
      <c r="U11" s="16"/>
      <c r="V11" s="16"/>
    </row>
    <row r="12" spans="2:36" s="17" customFormat="1" ht="57" customHeight="1" x14ac:dyDescent="0.2">
      <c r="B12" s="99">
        <v>8</v>
      </c>
      <c r="C12" s="56" t="s">
        <v>377</v>
      </c>
      <c r="D12" s="10" t="s">
        <v>394</v>
      </c>
      <c r="E12" s="216" t="s">
        <v>695</v>
      </c>
      <c r="F12" s="193" t="s">
        <v>682</v>
      </c>
      <c r="G12" s="9" t="str">
        <f t="shared" si="1"/>
        <v>CONHECER AS ÁREAS DE MANIPULAÇÃO DE MEDICAMENTOS ESTÉREIS E NÃO ESTÉREIS (ESTRUTURA FÍSICA), SISTEMA DE PRESCRIÇÃO, FLUXOS DE PRODUÇÃO/MANIPULAÇÃO E SISTEMA DE DISPENSAÇÃO DOS MEDICAMENTOS DO HOSPITAL PEQUENO PRÍNCIPE.</v>
      </c>
      <c r="H12" s="9" t="s">
        <v>181</v>
      </c>
      <c r="I12" s="18">
        <v>43374</v>
      </c>
      <c r="J12" s="10">
        <v>9</v>
      </c>
      <c r="K12" s="11">
        <v>10</v>
      </c>
      <c r="L12" s="58">
        <v>0</v>
      </c>
      <c r="M12" s="58">
        <v>0</v>
      </c>
      <c r="N12" s="58">
        <v>0</v>
      </c>
      <c r="O12" s="12">
        <f>28.6+78+91+29.62+37</f>
        <v>264.22000000000003</v>
      </c>
      <c r="P12" s="14">
        <v>1512.15</v>
      </c>
      <c r="Q12" s="15">
        <f>248.85+151</f>
        <v>399.85</v>
      </c>
      <c r="R12" s="98">
        <f t="shared" si="0"/>
        <v>2176.2200000000003</v>
      </c>
      <c r="S12" s="16"/>
      <c r="T12" s="16"/>
      <c r="U12" s="16"/>
      <c r="V12" s="16"/>
    </row>
    <row r="13" spans="2:36" s="17" customFormat="1" ht="57" customHeight="1" x14ac:dyDescent="0.2">
      <c r="B13" s="99">
        <v>9</v>
      </c>
      <c r="C13" s="56" t="s">
        <v>378</v>
      </c>
      <c r="D13" s="10" t="s">
        <v>395</v>
      </c>
      <c r="E13" s="216" t="s">
        <v>696</v>
      </c>
      <c r="F13" s="193" t="s">
        <v>682</v>
      </c>
      <c r="G13" s="9" t="str">
        <f t="shared" si="1"/>
        <v>CONHECER AS ÁREAS DE MANIPULAÇÃO DE MEDICAMENTOS ESTÉREIS E NÃO ESTÉREIS (ESTRUTURA FÍSICA), SISTEMA DE PRESCRIÇÃO, FLUXOS DE PRODUÇÃO/MANIPULAÇÃO E SISTEMA DE DISPENSAÇÃO DOS MEDICAMENTOS DO HOSPITAL PEQUENO PRÍNCIPE.</v>
      </c>
      <c r="H13" s="9" t="s">
        <v>181</v>
      </c>
      <c r="I13" s="18">
        <v>43374</v>
      </c>
      <c r="J13" s="10">
        <v>9</v>
      </c>
      <c r="K13" s="11">
        <v>10</v>
      </c>
      <c r="L13" s="58">
        <v>0</v>
      </c>
      <c r="M13" s="58">
        <v>0</v>
      </c>
      <c r="N13" s="58">
        <v>0</v>
      </c>
      <c r="O13" s="12">
        <v>0</v>
      </c>
      <c r="P13" s="14">
        <v>1682.15</v>
      </c>
      <c r="Q13" s="15">
        <f>248.85+137</f>
        <v>385.85</v>
      </c>
      <c r="R13" s="98">
        <f t="shared" si="0"/>
        <v>2068</v>
      </c>
      <c r="S13" s="16"/>
      <c r="T13" s="16"/>
      <c r="U13" s="16"/>
      <c r="V13" s="16"/>
    </row>
    <row r="14" spans="2:36" s="17" customFormat="1" ht="12.75" customHeight="1" x14ac:dyDescent="0.2">
      <c r="B14" s="99">
        <v>10</v>
      </c>
      <c r="C14" s="56" t="s">
        <v>379</v>
      </c>
      <c r="D14" s="10" t="s">
        <v>396</v>
      </c>
      <c r="E14" s="216" t="s">
        <v>666</v>
      </c>
      <c r="F14" s="214" t="s">
        <v>683</v>
      </c>
      <c r="G14" s="9" t="str">
        <f t="shared" si="1"/>
        <v>PARTICIPAÇÃO NO 49º FONAITEC</v>
      </c>
      <c r="H14" s="9" t="s">
        <v>403</v>
      </c>
      <c r="I14" s="18">
        <v>43405</v>
      </c>
      <c r="J14" s="10">
        <v>4</v>
      </c>
      <c r="K14" s="11">
        <v>9</v>
      </c>
      <c r="L14" s="58">
        <v>44.42</v>
      </c>
      <c r="M14" s="58">
        <v>63.58</v>
      </c>
      <c r="N14" s="58">
        <v>0</v>
      </c>
      <c r="O14" s="12">
        <v>0</v>
      </c>
      <c r="P14" s="14">
        <v>1904.15</v>
      </c>
      <c r="Q14" s="15">
        <f>840+509</f>
        <v>1349</v>
      </c>
      <c r="R14" s="98">
        <f t="shared" si="0"/>
        <v>3361.15</v>
      </c>
      <c r="S14" s="16"/>
      <c r="T14" s="16"/>
      <c r="U14" s="16"/>
      <c r="V14" s="16"/>
    </row>
    <row r="15" spans="2:36" s="17" customFormat="1" ht="12.75" customHeight="1" x14ac:dyDescent="0.2">
      <c r="B15" s="99">
        <v>11</v>
      </c>
      <c r="C15" s="56" t="s">
        <v>379</v>
      </c>
      <c r="D15" s="10" t="s">
        <v>218</v>
      </c>
      <c r="E15" s="216" t="s">
        <v>605</v>
      </c>
      <c r="F15" s="214" t="s">
        <v>683</v>
      </c>
      <c r="G15" s="9" t="str">
        <f t="shared" si="1"/>
        <v>PARTICIPAÇÃO NO 49º FONAITEC</v>
      </c>
      <c r="H15" s="9" t="s">
        <v>403</v>
      </c>
      <c r="I15" s="18">
        <v>43405</v>
      </c>
      <c r="J15" s="10">
        <v>4</v>
      </c>
      <c r="K15" s="11">
        <v>9</v>
      </c>
      <c r="L15" s="58">
        <v>0</v>
      </c>
      <c r="M15" s="58">
        <v>56.87</v>
      </c>
      <c r="N15" s="58">
        <v>0</v>
      </c>
      <c r="O15" s="12">
        <v>0</v>
      </c>
      <c r="P15" s="14">
        <v>1644</v>
      </c>
      <c r="Q15" s="15">
        <f>840+680</f>
        <v>1520</v>
      </c>
      <c r="R15" s="98">
        <f t="shared" si="0"/>
        <v>3220.87</v>
      </c>
      <c r="S15" s="16"/>
      <c r="T15" s="16"/>
      <c r="U15" s="16"/>
      <c r="V15" s="16"/>
    </row>
    <row r="16" spans="2:36" s="17" customFormat="1" ht="25.5" customHeight="1" x14ac:dyDescent="0.2">
      <c r="B16" s="99">
        <v>12</v>
      </c>
      <c r="C16" s="56" t="s">
        <v>380</v>
      </c>
      <c r="D16" s="10" t="s">
        <v>397</v>
      </c>
      <c r="E16" s="216" t="s">
        <v>505</v>
      </c>
      <c r="F16" s="214" t="s">
        <v>684</v>
      </c>
      <c r="G16" s="9" t="str">
        <f t="shared" si="1"/>
        <v>PARTICIPAÇÃO NO CURSO: CONTRATAÇÕES NAS EMPRESAS ESTATAIS</v>
      </c>
      <c r="H16" s="9" t="s">
        <v>181</v>
      </c>
      <c r="I16" s="18">
        <v>43405</v>
      </c>
      <c r="J16" s="10">
        <v>7</v>
      </c>
      <c r="K16" s="11">
        <v>9</v>
      </c>
      <c r="L16" s="58">
        <v>156.13999999999999</v>
      </c>
      <c r="M16" s="58">
        <v>0</v>
      </c>
      <c r="N16" s="58">
        <v>0</v>
      </c>
      <c r="O16" s="12">
        <v>0</v>
      </c>
      <c r="P16" s="14">
        <v>872.15</v>
      </c>
      <c r="Q16" s="15">
        <f>514.5+107.2</f>
        <v>621.70000000000005</v>
      </c>
      <c r="R16" s="98">
        <f t="shared" si="0"/>
        <v>1649.99</v>
      </c>
      <c r="S16" s="16"/>
      <c r="T16" s="16"/>
      <c r="U16" s="16"/>
      <c r="V16" s="16"/>
    </row>
    <row r="17" spans="2:22" s="17" customFormat="1" ht="24" customHeight="1" x14ac:dyDescent="0.2">
      <c r="B17" s="99">
        <v>13</v>
      </c>
      <c r="C17" s="56" t="s">
        <v>381</v>
      </c>
      <c r="D17" s="10" t="s">
        <v>15</v>
      </c>
      <c r="E17" s="9" t="s">
        <v>561</v>
      </c>
      <c r="F17" s="193" t="s">
        <v>685</v>
      </c>
      <c r="G17" s="9" t="str">
        <f t="shared" si="1"/>
        <v>PARTICIPAR DE REUNIÃO DAS PENDÊNCIAS DAS OBRAS HCPA/CONSÓRCIO.</v>
      </c>
      <c r="H17" s="9" t="s">
        <v>9</v>
      </c>
      <c r="I17" s="18">
        <v>43374</v>
      </c>
      <c r="J17" s="10">
        <v>8</v>
      </c>
      <c r="K17" s="11">
        <v>8</v>
      </c>
      <c r="L17" s="58">
        <v>0</v>
      </c>
      <c r="M17" s="58">
        <v>97</v>
      </c>
      <c r="N17" s="58">
        <v>0</v>
      </c>
      <c r="O17" s="12">
        <f>30+33</f>
        <v>63</v>
      </c>
      <c r="P17" s="14">
        <v>1474.37</v>
      </c>
      <c r="Q17" s="15">
        <v>0</v>
      </c>
      <c r="R17" s="98">
        <f t="shared" si="0"/>
        <v>1634.37</v>
      </c>
      <c r="S17" s="16"/>
      <c r="T17" s="16"/>
      <c r="U17" s="16"/>
      <c r="V17" s="16"/>
    </row>
    <row r="18" spans="2:22" s="17" customFormat="1" ht="24" customHeight="1" x14ac:dyDescent="0.2">
      <c r="B18" s="99">
        <v>14</v>
      </c>
      <c r="C18" s="56" t="s">
        <v>382</v>
      </c>
      <c r="D18" s="10" t="s">
        <v>11</v>
      </c>
      <c r="E18" s="216" t="s">
        <v>697</v>
      </c>
      <c r="F18" s="193" t="s">
        <v>685</v>
      </c>
      <c r="G18" s="9" t="str">
        <f t="shared" si="1"/>
        <v>PARTICIPAR DE REUNIÃO DAS PENDÊNCIAS DAS OBRAS HCPA/CONSÓRCIO.</v>
      </c>
      <c r="H18" s="9" t="s">
        <v>9</v>
      </c>
      <c r="I18" s="18">
        <v>43374</v>
      </c>
      <c r="J18" s="10">
        <v>8</v>
      </c>
      <c r="K18" s="11">
        <v>8</v>
      </c>
      <c r="L18" s="58">
        <v>0</v>
      </c>
      <c r="M18" s="58">
        <v>97</v>
      </c>
      <c r="N18" s="58">
        <v>0</v>
      </c>
      <c r="O18" s="12">
        <v>0</v>
      </c>
      <c r="P18" s="14">
        <v>1474.37</v>
      </c>
      <c r="Q18" s="15">
        <v>500</v>
      </c>
      <c r="R18" s="98">
        <f t="shared" si="0"/>
        <v>2071.37</v>
      </c>
      <c r="S18" s="16"/>
      <c r="T18" s="16"/>
      <c r="U18" s="16"/>
      <c r="V18" s="16"/>
    </row>
    <row r="19" spans="2:22" s="17" customFormat="1" ht="24" customHeight="1" x14ac:dyDescent="0.2">
      <c r="B19" s="99">
        <v>15</v>
      </c>
      <c r="C19" s="57" t="s">
        <v>383</v>
      </c>
      <c r="D19" s="10" t="s">
        <v>398</v>
      </c>
      <c r="E19" s="216" t="s">
        <v>698</v>
      </c>
      <c r="F19" s="214" t="s">
        <v>686</v>
      </c>
      <c r="G19" s="9" t="str">
        <f t="shared" si="1"/>
        <v>7ª REUNIÃO ANUAL DOS COORDENADORES DOS PROGRAMAS PIBIC</v>
      </c>
      <c r="H19" s="9" t="s">
        <v>9</v>
      </c>
      <c r="I19" s="18">
        <v>43374</v>
      </c>
      <c r="J19" s="10">
        <v>22</v>
      </c>
      <c r="K19" s="11">
        <v>23</v>
      </c>
      <c r="L19" s="58">
        <v>90.4</v>
      </c>
      <c r="M19" s="58">
        <v>117</v>
      </c>
      <c r="N19" s="58">
        <v>0</v>
      </c>
      <c r="O19" s="12">
        <v>0</v>
      </c>
      <c r="P19" s="14">
        <v>1550.37</v>
      </c>
      <c r="Q19" s="15">
        <v>0</v>
      </c>
      <c r="R19" s="98">
        <f t="shared" si="0"/>
        <v>1757.77</v>
      </c>
      <c r="S19" s="16"/>
      <c r="T19" s="16"/>
      <c r="U19" s="16"/>
      <c r="V19" s="16"/>
    </row>
    <row r="20" spans="2:22" s="17" customFormat="1" ht="26.25" customHeight="1" x14ac:dyDescent="0.2">
      <c r="B20" s="99">
        <v>16</v>
      </c>
      <c r="C20" s="57" t="s">
        <v>384</v>
      </c>
      <c r="D20" s="10" t="s">
        <v>123</v>
      </c>
      <c r="E20" s="216" t="s">
        <v>538</v>
      </c>
      <c r="F20" s="193" t="s">
        <v>687</v>
      </c>
      <c r="G20" s="9" t="str">
        <f t="shared" si="1"/>
        <v>PARTICIPAR DO 6º CONAHP-CONGRESSO NACIONAL DE HOSPITAIS PRIVADOS.</v>
      </c>
      <c r="H20" s="9" t="s">
        <v>53</v>
      </c>
      <c r="I20" s="18">
        <v>43405</v>
      </c>
      <c r="J20" s="10">
        <v>6</v>
      </c>
      <c r="K20" s="11">
        <v>9</v>
      </c>
      <c r="L20" s="58">
        <v>20.57</v>
      </c>
      <c r="M20" s="58">
        <v>393.4</v>
      </c>
      <c r="N20" s="58">
        <v>0</v>
      </c>
      <c r="O20" s="12">
        <v>37</v>
      </c>
      <c r="P20" s="14">
        <v>1205.1500000000001</v>
      </c>
      <c r="Q20" s="15">
        <f>1669.5+76.9</f>
        <v>1746.4</v>
      </c>
      <c r="R20" s="98">
        <f t="shared" si="0"/>
        <v>3402.5200000000004</v>
      </c>
      <c r="S20" s="16"/>
      <c r="T20" s="16"/>
      <c r="U20" s="16"/>
      <c r="V20" s="16"/>
    </row>
    <row r="21" spans="2:22" s="17" customFormat="1" ht="35.25" customHeight="1" x14ac:dyDescent="0.2">
      <c r="B21" s="99">
        <v>17</v>
      </c>
      <c r="C21" s="57" t="s">
        <v>385</v>
      </c>
      <c r="D21" s="10" t="s">
        <v>130</v>
      </c>
      <c r="E21" s="216" t="s">
        <v>699</v>
      </c>
      <c r="F21" s="280" t="s">
        <v>688</v>
      </c>
      <c r="G21" s="9" t="str">
        <f t="shared" si="1"/>
        <v>PARTICIPAÇÃO EM SEMINÁRIO DE ÉTICA E GESTÃO PELA SECRETARIA EXECUTIVA DA COMISSÃO DE ÉTICA PÚBLICA DA PRESIDÊNCIA DA REPÚBLICA.</v>
      </c>
      <c r="H21" s="9" t="s">
        <v>9</v>
      </c>
      <c r="I21" s="18">
        <v>43405</v>
      </c>
      <c r="J21" s="10">
        <v>21</v>
      </c>
      <c r="K21" s="11">
        <v>23</v>
      </c>
      <c r="L21" s="58">
        <v>0</v>
      </c>
      <c r="M21" s="58">
        <v>73.099999999999994</v>
      </c>
      <c r="N21" s="58">
        <v>0</v>
      </c>
      <c r="O21" s="12">
        <f>14.5</f>
        <v>14.5</v>
      </c>
      <c r="P21" s="14">
        <f>742.98+741.39</f>
        <v>1484.37</v>
      </c>
      <c r="Q21" s="15">
        <f>747.5+164.95</f>
        <v>912.45</v>
      </c>
      <c r="R21" s="98">
        <f t="shared" si="0"/>
        <v>2484.42</v>
      </c>
      <c r="S21" s="16"/>
      <c r="T21" s="16"/>
      <c r="U21" s="16"/>
      <c r="V21" s="16"/>
    </row>
    <row r="22" spans="2:22" s="17" customFormat="1" ht="34.5" customHeight="1" x14ac:dyDescent="0.2">
      <c r="B22" s="99">
        <v>18</v>
      </c>
      <c r="C22" s="57" t="s">
        <v>386</v>
      </c>
      <c r="D22" s="10" t="s">
        <v>399</v>
      </c>
      <c r="E22" s="9" t="s">
        <v>700</v>
      </c>
      <c r="F22" s="280" t="s">
        <v>688</v>
      </c>
      <c r="G22" s="9" t="str">
        <f t="shared" si="1"/>
        <v>PARTICIPAÇÃO EM SEMINÁRIO DE ÉTICA E GESTÃO PELA SECRETARIA EXECUTIVA DA COMISSÃO DE ÉTICA PÚBLICA DA PRESIDÊNCIA DA REPÚBLICA.</v>
      </c>
      <c r="H22" s="9" t="s">
        <v>9</v>
      </c>
      <c r="I22" s="18">
        <v>43405</v>
      </c>
      <c r="J22" s="10">
        <v>21</v>
      </c>
      <c r="K22" s="11">
        <v>23</v>
      </c>
      <c r="L22" s="58">
        <v>0</v>
      </c>
      <c r="M22" s="58">
        <v>0</v>
      </c>
      <c r="N22" s="58">
        <v>0</v>
      </c>
      <c r="O22" s="12">
        <f>27+68+15+53+50</f>
        <v>213</v>
      </c>
      <c r="P22" s="14">
        <v>1406.37</v>
      </c>
      <c r="Q22" s="15">
        <f>747.5+193.99</f>
        <v>941.49</v>
      </c>
      <c r="R22" s="98">
        <f t="shared" si="0"/>
        <v>2560.8599999999997</v>
      </c>
      <c r="S22" s="16"/>
      <c r="T22" s="16"/>
      <c r="U22" s="16"/>
      <c r="V22" s="16"/>
    </row>
    <row r="23" spans="2:22" s="17" customFormat="1" ht="25.5" customHeight="1" x14ac:dyDescent="0.2">
      <c r="B23" s="99">
        <v>19</v>
      </c>
      <c r="C23" s="57" t="s">
        <v>387</v>
      </c>
      <c r="D23" s="10" t="s">
        <v>400</v>
      </c>
      <c r="E23" s="216" t="s">
        <v>703</v>
      </c>
      <c r="F23" s="193" t="s">
        <v>687</v>
      </c>
      <c r="G23" s="9" t="str">
        <f t="shared" si="1"/>
        <v>PARTICIPAR DO 6º CONAHP-CONGRESSO NACIONAL DE HOSPITAIS PRIVADOS.</v>
      </c>
      <c r="H23" s="9" t="s">
        <v>53</v>
      </c>
      <c r="I23" s="18">
        <v>43405</v>
      </c>
      <c r="J23" s="10">
        <v>6</v>
      </c>
      <c r="K23" s="11">
        <v>8</v>
      </c>
      <c r="L23" s="58">
        <v>0</v>
      </c>
      <c r="M23" s="58">
        <v>0</v>
      </c>
      <c r="N23" s="58">
        <v>0</v>
      </c>
      <c r="O23" s="12">
        <v>0</v>
      </c>
      <c r="P23" s="14">
        <v>1847.15</v>
      </c>
      <c r="Q23" s="15">
        <f>1113+109.8</f>
        <v>1222.8</v>
      </c>
      <c r="R23" s="98">
        <f t="shared" si="0"/>
        <v>3069.95</v>
      </c>
      <c r="S23" s="16"/>
      <c r="T23" s="16"/>
      <c r="U23" s="16"/>
      <c r="V23" s="16"/>
    </row>
    <row r="24" spans="2:22" s="17" customFormat="1" ht="24.75" customHeight="1" x14ac:dyDescent="0.2">
      <c r="B24" s="99">
        <v>20</v>
      </c>
      <c r="C24" s="57" t="s">
        <v>388</v>
      </c>
      <c r="D24" s="10" t="s">
        <v>11</v>
      </c>
      <c r="E24" s="216" t="s">
        <v>697</v>
      </c>
      <c r="F24" s="193" t="s">
        <v>687</v>
      </c>
      <c r="G24" s="9" t="str">
        <f t="shared" si="1"/>
        <v>PARTICIPAR DO 6º CONAHP-CONGRESSO NACIONAL DE HOSPITAIS PRIVADOS.</v>
      </c>
      <c r="H24" s="9" t="s">
        <v>53</v>
      </c>
      <c r="I24" s="18">
        <v>43405</v>
      </c>
      <c r="J24" s="10">
        <v>6</v>
      </c>
      <c r="K24" s="11">
        <v>8</v>
      </c>
      <c r="L24" s="58">
        <v>41.88</v>
      </c>
      <c r="M24" s="58">
        <v>208.19</v>
      </c>
      <c r="N24" s="58">
        <v>0</v>
      </c>
      <c r="O24" s="12">
        <v>0</v>
      </c>
      <c r="P24" s="14">
        <v>1876.15</v>
      </c>
      <c r="Q24" s="15">
        <v>1113</v>
      </c>
      <c r="R24" s="98">
        <f t="shared" si="0"/>
        <v>3239.2200000000003</v>
      </c>
      <c r="S24" s="16"/>
      <c r="T24" s="16"/>
      <c r="U24" s="16"/>
      <c r="V24" s="16"/>
    </row>
    <row r="25" spans="2:22" s="17" customFormat="1" ht="22.5" customHeight="1" x14ac:dyDescent="0.2">
      <c r="B25" s="99">
        <v>21</v>
      </c>
      <c r="C25" s="57" t="s">
        <v>389</v>
      </c>
      <c r="D25" s="10" t="s">
        <v>401</v>
      </c>
      <c r="E25" s="9" t="s">
        <v>701</v>
      </c>
      <c r="F25" s="193" t="s">
        <v>687</v>
      </c>
      <c r="G25" s="9" t="str">
        <f t="shared" si="1"/>
        <v>PARTICIPAR DO 6º CONAHP-CONGRESSO NACIONAL DE HOSPITAIS PRIVADOS.</v>
      </c>
      <c r="H25" s="9" t="s">
        <v>53</v>
      </c>
      <c r="I25" s="18">
        <v>43405</v>
      </c>
      <c r="J25" s="10">
        <v>6</v>
      </c>
      <c r="K25" s="11">
        <v>9</v>
      </c>
      <c r="L25" s="58">
        <v>16.899999999999999</v>
      </c>
      <c r="M25" s="58">
        <v>349.75</v>
      </c>
      <c r="N25" s="58">
        <v>0</v>
      </c>
      <c r="O25" s="12">
        <f>25+21+26+16+29+29+31+36+30</f>
        <v>243</v>
      </c>
      <c r="P25" s="14">
        <v>1305.1500000000001</v>
      </c>
      <c r="Q25" s="15">
        <f>1587.6+61.38</f>
        <v>1648.98</v>
      </c>
      <c r="R25" s="98">
        <f t="shared" si="0"/>
        <v>3563.78</v>
      </c>
      <c r="S25" s="16"/>
      <c r="T25" s="16"/>
      <c r="U25" s="16"/>
      <c r="V25" s="16"/>
    </row>
    <row r="26" spans="2:22" s="17" customFormat="1" ht="22.5" customHeight="1" x14ac:dyDescent="0.2">
      <c r="B26" s="99">
        <v>22</v>
      </c>
      <c r="C26" s="57" t="s">
        <v>390</v>
      </c>
      <c r="D26" s="10" t="s">
        <v>398</v>
      </c>
      <c r="E26" s="216" t="s">
        <v>698</v>
      </c>
      <c r="F26" s="278" t="s">
        <v>689</v>
      </c>
      <c r="G26" s="9" t="str">
        <f t="shared" si="1"/>
        <v>TREINAMENTO/DEMONSTRAÇÃO DE EQUIPAMENTO EM NEGOCIAÇÃO DE SUBSTITUIÇÃO NA UNIDADE.</v>
      </c>
      <c r="H26" s="9" t="s">
        <v>53</v>
      </c>
      <c r="I26" s="18">
        <v>43374</v>
      </c>
      <c r="J26" s="10">
        <v>19</v>
      </c>
      <c r="K26" s="11">
        <v>19</v>
      </c>
      <c r="L26" s="58">
        <v>0</v>
      </c>
      <c r="M26" s="58">
        <v>34</v>
      </c>
      <c r="N26" s="58">
        <v>0</v>
      </c>
      <c r="O26" s="12">
        <v>0</v>
      </c>
      <c r="P26" s="14">
        <v>0</v>
      </c>
      <c r="Q26" s="15">
        <v>0</v>
      </c>
      <c r="R26" s="98">
        <f t="shared" si="0"/>
        <v>34</v>
      </c>
      <c r="S26" s="16"/>
      <c r="T26" s="16"/>
      <c r="U26" s="16"/>
      <c r="V26" s="16"/>
    </row>
    <row r="27" spans="2:22" s="17" customFormat="1" ht="23.25" customHeight="1" x14ac:dyDescent="0.2">
      <c r="B27" s="99">
        <v>23</v>
      </c>
      <c r="C27" s="57" t="s">
        <v>404</v>
      </c>
      <c r="D27" s="10" t="s">
        <v>47</v>
      </c>
      <c r="E27" s="216" t="s">
        <v>702</v>
      </c>
      <c r="F27" s="214" t="s">
        <v>690</v>
      </c>
      <c r="G27" s="9" t="str">
        <f t="shared" si="1"/>
        <v>ACOMPANHAMENTO IMPLANTAÇÃO MÓDULOS AGHUSE</v>
      </c>
      <c r="H27" s="9" t="s">
        <v>9</v>
      </c>
      <c r="I27" s="18">
        <v>43405</v>
      </c>
      <c r="J27" s="10">
        <v>4</v>
      </c>
      <c r="K27" s="11">
        <v>9</v>
      </c>
      <c r="L27" s="58">
        <v>188.74</v>
      </c>
      <c r="M27" s="58">
        <v>408.84</v>
      </c>
      <c r="N27" s="58">
        <v>0</v>
      </c>
      <c r="O27" s="12">
        <v>0</v>
      </c>
      <c r="P27" s="14">
        <v>2754.37</v>
      </c>
      <c r="Q27" s="15">
        <f>1705+179.3</f>
        <v>1884.3</v>
      </c>
      <c r="R27" s="98">
        <f t="shared" si="0"/>
        <v>5236.25</v>
      </c>
      <c r="S27" s="16"/>
      <c r="T27" s="16"/>
      <c r="U27" s="16"/>
      <c r="V27" s="16"/>
    </row>
    <row r="28" spans="2:22" s="17" customFormat="1" ht="44.25" customHeight="1" x14ac:dyDescent="0.2">
      <c r="B28" s="99">
        <v>24</v>
      </c>
      <c r="C28" s="57" t="s">
        <v>405</v>
      </c>
      <c r="D28" s="10" t="s">
        <v>78</v>
      </c>
      <c r="E28" s="216" t="s">
        <v>653</v>
      </c>
      <c r="F28" s="188" t="s">
        <v>691</v>
      </c>
      <c r="G28" s="9" t="str">
        <f t="shared" si="1"/>
        <v>MINISTRAR TREINAMENTO EXÉRCITO - PROJETO AGHUSE - IMERSÃO PARA TREINAMENTO PARA IMPLANTAÇÃO DO AGHUSE - MÓDULO AMBULATÓRIO ADMINISTRATIVO, BEM COMO APOIO À IMPLANTAÇÃO DO MÓDULO DE INTERNAÇÃO.</v>
      </c>
      <c r="H28" s="9" t="s">
        <v>9</v>
      </c>
      <c r="I28" s="18">
        <v>43405</v>
      </c>
      <c r="J28" s="10">
        <v>4</v>
      </c>
      <c r="K28" s="11">
        <v>9</v>
      </c>
      <c r="L28" s="58">
        <v>40</v>
      </c>
      <c r="M28" s="58">
        <v>328.64</v>
      </c>
      <c r="N28" s="58">
        <v>0</v>
      </c>
      <c r="O28" s="12">
        <v>0</v>
      </c>
      <c r="P28" s="14">
        <v>2754.37</v>
      </c>
      <c r="Q28" s="15">
        <f>1705+185.9</f>
        <v>1890.9</v>
      </c>
      <c r="R28" s="98">
        <f t="shared" si="0"/>
        <v>5013.91</v>
      </c>
      <c r="S28" s="16"/>
      <c r="T28" s="16"/>
      <c r="U28" s="16"/>
      <c r="V28" s="16"/>
    </row>
    <row r="29" spans="2:22" s="17" customFormat="1" ht="72.75" customHeight="1" thickBot="1" x14ac:dyDescent="0.25">
      <c r="B29" s="100">
        <v>25</v>
      </c>
      <c r="C29" s="173" t="s">
        <v>406</v>
      </c>
      <c r="D29" s="104" t="s">
        <v>230</v>
      </c>
      <c r="E29" s="235" t="s">
        <v>646</v>
      </c>
      <c r="F29" s="196" t="s">
        <v>692</v>
      </c>
      <c r="G29" s="102" t="str">
        <f t="shared" si="1"/>
        <v>TREINAMENTO EXÉRCITO - PROJETO AGHUSE - IMERSÃO PARA TREINAMENTO PARA IMPLANTAÇÃO DO AGHUSE - MÓDULOS PRESCRIÇÃO ENFERMAGEM, ANAMNESE, EVOLUÇÃO E CONTROLE DE PACIENETS, BEM COMO VALIDAR O COMPLEMENTO CADASTRAL E RETIRAR DÚVIDAS NEGOCIAIS</v>
      </c>
      <c r="H29" s="102" t="s">
        <v>9</v>
      </c>
      <c r="I29" s="103">
        <v>43405</v>
      </c>
      <c r="J29" s="104">
        <v>5</v>
      </c>
      <c r="K29" s="105">
        <v>9</v>
      </c>
      <c r="L29" s="149">
        <v>101.21</v>
      </c>
      <c r="M29" s="149">
        <v>255.82</v>
      </c>
      <c r="N29" s="149">
        <v>0</v>
      </c>
      <c r="O29" s="128">
        <v>68</v>
      </c>
      <c r="P29" s="107">
        <f>1376.39+1303.98</f>
        <v>2680.37</v>
      </c>
      <c r="Q29" s="108">
        <f>1467.4+229.9</f>
        <v>1697.3000000000002</v>
      </c>
      <c r="R29" s="109">
        <f t="shared" si="0"/>
        <v>4802.7</v>
      </c>
      <c r="S29" s="16"/>
      <c r="T29" s="16"/>
      <c r="U29" s="16"/>
      <c r="V29" s="16"/>
    </row>
    <row r="30" spans="2:22" s="31" customFormat="1" ht="24.75" customHeight="1" x14ac:dyDescent="0.2">
      <c r="C30" s="32"/>
      <c r="D30" s="32"/>
      <c r="E30" s="32"/>
      <c r="F30" s="32"/>
      <c r="G30" s="32"/>
      <c r="H30" s="34"/>
      <c r="I30" s="32"/>
      <c r="J30" s="20"/>
      <c r="K30" s="33"/>
      <c r="L30" s="36">
        <f t="shared" ref="L30:Q30" si="2">SUM(L5:L29)</f>
        <v>1162.8100000000002</v>
      </c>
      <c r="M30" s="36">
        <f t="shared" si="2"/>
        <v>2546.7800000000002</v>
      </c>
      <c r="N30" s="36">
        <f t="shared" si="2"/>
        <v>0</v>
      </c>
      <c r="O30" s="133">
        <f t="shared" si="2"/>
        <v>1047.3400000000001</v>
      </c>
      <c r="P30" s="60">
        <f t="shared" si="2"/>
        <v>42682.750000000007</v>
      </c>
      <c r="Q30" s="61">
        <f t="shared" si="2"/>
        <v>19905.969999999998</v>
      </c>
      <c r="R30" s="59">
        <f>SUM(R5:R29)+O31</f>
        <v>67356.123399999997</v>
      </c>
    </row>
    <row r="31" spans="2:22" s="40" customFormat="1" ht="24.75" customHeight="1" thickBot="1" x14ac:dyDescent="0.3">
      <c r="C31" s="41"/>
      <c r="D31" s="288"/>
      <c r="E31" s="288"/>
      <c r="F31" s="288"/>
      <c r="G31" s="288"/>
      <c r="H31" s="288"/>
      <c r="I31" s="288"/>
      <c r="J31" s="288"/>
      <c r="K31" s="42"/>
      <c r="L31" s="43"/>
      <c r="M31" s="43"/>
      <c r="N31" s="91" t="s">
        <v>315</v>
      </c>
      <c r="O31" s="27">
        <f>O30*1%</f>
        <v>10.473400000000002</v>
      </c>
      <c r="R31" s="44"/>
    </row>
    <row r="32" spans="2:22" s="40" customFormat="1" ht="24.75" customHeight="1" thickBot="1" x14ac:dyDescent="0.3">
      <c r="C32" s="41"/>
      <c r="D32" s="170" t="s">
        <v>369</v>
      </c>
      <c r="E32" s="273"/>
      <c r="F32" s="273"/>
      <c r="G32" s="273"/>
      <c r="H32" s="45"/>
      <c r="I32" s="41"/>
      <c r="J32" s="41"/>
      <c r="K32" s="42"/>
      <c r="L32" s="43"/>
      <c r="M32" s="43"/>
      <c r="N32" s="43"/>
      <c r="O32" s="93">
        <f>O30+O31</f>
        <v>1057.8134000000002</v>
      </c>
      <c r="P32" s="46"/>
      <c r="Q32" s="44"/>
      <c r="R32" s="47" t="s">
        <v>50</v>
      </c>
    </row>
    <row r="33" spans="3:18" s="40" customFormat="1" ht="24.75" customHeight="1" x14ac:dyDescent="0.2">
      <c r="C33" s="41"/>
      <c r="D33" s="289"/>
      <c r="E33" s="289"/>
      <c r="F33" s="289"/>
      <c r="G33" s="289"/>
      <c r="H33" s="289"/>
      <c r="I33" s="289"/>
      <c r="J33" s="289"/>
      <c r="K33" s="42"/>
      <c r="L33" s="43"/>
      <c r="M33" s="43"/>
      <c r="N33" s="43"/>
      <c r="O33" s="27"/>
      <c r="P33" s="5" t="s">
        <v>49</v>
      </c>
      <c r="Q33" s="167">
        <f>L30+M30+N30+O32+P30+Q30</f>
        <v>67356.123400000011</v>
      </c>
      <c r="R33" s="48">
        <f>R30-Q33</f>
        <v>0</v>
      </c>
    </row>
    <row r="34" spans="3:18" ht="24.75" customHeight="1" x14ac:dyDescent="0.25">
      <c r="C34" s="49"/>
      <c r="D34" s="50"/>
      <c r="E34" s="50"/>
      <c r="F34" s="50"/>
      <c r="G34" s="50"/>
      <c r="H34" s="51"/>
      <c r="I34" s="52"/>
      <c r="J34" s="52"/>
      <c r="K34" s="52"/>
      <c r="N34" s="91" t="s">
        <v>315</v>
      </c>
      <c r="O34" s="27" t="s">
        <v>316</v>
      </c>
    </row>
    <row r="35" spans="3:18" ht="24.75" customHeight="1" x14ac:dyDescent="0.25">
      <c r="C35" s="49"/>
      <c r="D35" s="50"/>
      <c r="E35" s="50"/>
      <c r="F35" s="50"/>
      <c r="G35" s="50"/>
      <c r="H35" s="51"/>
      <c r="I35" s="52"/>
      <c r="J35" s="52"/>
      <c r="K35" s="52"/>
      <c r="O35" s="27"/>
    </row>
    <row r="36" spans="3:18" ht="24.75" customHeight="1" x14ac:dyDescent="0.25">
      <c r="C36" s="49"/>
      <c r="D36" s="50"/>
      <c r="E36" s="50"/>
      <c r="F36" s="50"/>
      <c r="G36" s="50"/>
      <c r="H36" s="51"/>
      <c r="I36" s="52"/>
      <c r="J36" s="52"/>
      <c r="K36" s="52"/>
      <c r="O36" s="27"/>
    </row>
    <row r="37" spans="3:18" ht="24.75" customHeight="1" x14ac:dyDescent="0.25">
      <c r="C37" s="49"/>
      <c r="D37" s="50"/>
      <c r="E37" s="50"/>
      <c r="F37" s="50"/>
      <c r="G37" s="50"/>
      <c r="H37" s="51"/>
      <c r="I37" s="52"/>
      <c r="J37" s="52"/>
      <c r="K37" s="52"/>
      <c r="O37" s="27"/>
    </row>
    <row r="38" spans="3:18" ht="24.75" customHeight="1" x14ac:dyDescent="0.25">
      <c r="C38" s="49"/>
      <c r="D38" s="50"/>
      <c r="E38" s="50"/>
      <c r="F38" s="50"/>
      <c r="G38" s="50"/>
      <c r="H38" s="51"/>
      <c r="I38" s="52"/>
      <c r="J38" s="52"/>
      <c r="K38" s="52"/>
      <c r="O38" s="27"/>
    </row>
    <row r="39" spans="3:18" ht="24.75" customHeight="1" x14ac:dyDescent="0.25">
      <c r="C39" s="49"/>
      <c r="D39" s="50"/>
      <c r="E39" s="50"/>
      <c r="F39" s="50"/>
      <c r="G39" s="50"/>
      <c r="H39" s="51"/>
      <c r="I39" s="52"/>
      <c r="J39" s="52"/>
      <c r="K39" s="52"/>
      <c r="O39" s="27"/>
    </row>
    <row r="40" spans="3:18" ht="24.75" customHeight="1" x14ac:dyDescent="0.25">
      <c r="C40" s="49"/>
      <c r="D40" s="50"/>
      <c r="E40" s="50"/>
      <c r="F40" s="50"/>
      <c r="G40" s="50"/>
      <c r="H40" s="51"/>
      <c r="I40" s="52"/>
      <c r="J40" s="52"/>
      <c r="K40" s="52"/>
      <c r="O40" s="27"/>
    </row>
    <row r="41" spans="3:18" ht="24.75" customHeight="1" x14ac:dyDescent="0.25">
      <c r="C41" s="49"/>
      <c r="D41" s="50"/>
      <c r="E41" s="50"/>
      <c r="F41" s="50"/>
      <c r="G41" s="50"/>
      <c r="H41" s="51"/>
      <c r="I41" s="52"/>
      <c r="J41" s="52"/>
      <c r="K41" s="52"/>
      <c r="O41" s="27"/>
    </row>
    <row r="42" spans="3:18" ht="24.75" customHeight="1" x14ac:dyDescent="0.25">
      <c r="C42" s="49"/>
      <c r="H42" s="51"/>
      <c r="I42" s="52"/>
      <c r="J42" s="52"/>
      <c r="K42" s="52"/>
      <c r="O42" s="27"/>
    </row>
    <row r="43" spans="3:18" ht="24.75" customHeight="1" x14ac:dyDescent="0.25">
      <c r="C43" s="49"/>
      <c r="D43" s="50"/>
      <c r="E43" s="50"/>
      <c r="F43" s="50"/>
      <c r="G43" s="50"/>
      <c r="H43" s="51"/>
      <c r="I43" s="52"/>
      <c r="J43" s="52"/>
      <c r="K43" s="52"/>
      <c r="O43" s="27"/>
    </row>
    <row r="44" spans="3:18" ht="24.75" customHeight="1" x14ac:dyDescent="0.25">
      <c r="C44" s="49"/>
      <c r="D44" s="50"/>
      <c r="E44" s="50"/>
      <c r="F44" s="50"/>
      <c r="G44" s="50"/>
      <c r="H44" s="51"/>
      <c r="I44" s="52"/>
      <c r="J44" s="52"/>
      <c r="K44" s="52"/>
      <c r="O44" s="53"/>
    </row>
    <row r="45" spans="3:18" ht="24.75" customHeight="1" x14ac:dyDescent="0.25">
      <c r="C45" s="49"/>
      <c r="D45" s="50"/>
      <c r="E45" s="50"/>
      <c r="F45" s="50"/>
      <c r="G45" s="50"/>
      <c r="H45" s="51"/>
      <c r="I45" s="52"/>
      <c r="J45" s="52"/>
      <c r="K45" s="52"/>
      <c r="O45" s="40"/>
      <c r="P45"/>
      <c r="Q45"/>
      <c r="R45"/>
    </row>
    <row r="46" spans="3:18" ht="24.75" customHeight="1" x14ac:dyDescent="0.25">
      <c r="C46" s="49"/>
      <c r="D46" s="50"/>
      <c r="E46" s="50"/>
      <c r="F46" s="50"/>
      <c r="G46" s="50"/>
      <c r="H46" s="51"/>
      <c r="I46" s="52"/>
      <c r="J46" s="52"/>
      <c r="K46" s="52"/>
      <c r="O46" s="40"/>
      <c r="P46"/>
      <c r="Q46"/>
      <c r="R46"/>
    </row>
    <row r="47" spans="3:18" ht="24.75" customHeight="1" x14ac:dyDescent="0.25">
      <c r="C47" s="49"/>
      <c r="D47" s="50"/>
      <c r="E47" s="50"/>
      <c r="F47" s="50"/>
      <c r="G47" s="50"/>
      <c r="H47" s="51"/>
      <c r="I47" s="52"/>
      <c r="J47" s="52"/>
      <c r="K47" s="52"/>
      <c r="O47" s="40"/>
      <c r="P47"/>
      <c r="Q47"/>
      <c r="R47"/>
    </row>
    <row r="48" spans="3:18" ht="24.75" customHeight="1" x14ac:dyDescent="0.25">
      <c r="C48" s="49"/>
      <c r="D48" s="50"/>
      <c r="E48" s="50"/>
      <c r="F48" s="50"/>
      <c r="G48" s="50"/>
      <c r="H48" s="51"/>
      <c r="I48" s="52"/>
      <c r="J48" s="52"/>
      <c r="K48" s="52"/>
      <c r="P48"/>
      <c r="Q48"/>
      <c r="R48"/>
    </row>
    <row r="49" spans="3:18" ht="24.75" customHeight="1" x14ac:dyDescent="0.25">
      <c r="C49" s="49"/>
      <c r="D49" s="50"/>
      <c r="E49" s="50"/>
      <c r="F49" s="50"/>
      <c r="G49" s="50"/>
      <c r="H49" s="51"/>
      <c r="I49" s="52"/>
      <c r="J49" s="52"/>
      <c r="K49" s="52"/>
      <c r="P49"/>
      <c r="Q49"/>
      <c r="R49"/>
    </row>
    <row r="50" spans="3:18" ht="24.75" customHeight="1" x14ac:dyDescent="0.25">
      <c r="C50" s="49"/>
      <c r="D50" s="50"/>
      <c r="E50" s="50"/>
      <c r="F50" s="50"/>
      <c r="G50" s="50"/>
      <c r="H50" s="51"/>
      <c r="I50" s="52"/>
      <c r="J50" s="52"/>
      <c r="K50" s="52"/>
      <c r="P50"/>
      <c r="Q50"/>
      <c r="R50"/>
    </row>
    <row r="51" spans="3:18" ht="24.75" customHeight="1" x14ac:dyDescent="0.25">
      <c r="C51" s="49"/>
      <c r="D51" s="50"/>
      <c r="E51" s="50"/>
      <c r="F51" s="50"/>
      <c r="G51" s="50"/>
      <c r="H51" s="51"/>
      <c r="I51" s="52"/>
      <c r="J51" s="52"/>
      <c r="K51" s="52"/>
      <c r="P51"/>
      <c r="Q51"/>
      <c r="R51"/>
    </row>
    <row r="52" spans="3:18" ht="24.75" customHeight="1" x14ac:dyDescent="0.25">
      <c r="C52" s="49"/>
      <c r="D52" s="50"/>
      <c r="E52" s="50"/>
      <c r="F52" s="50"/>
      <c r="G52" s="50"/>
      <c r="H52" s="51"/>
      <c r="I52" s="52"/>
      <c r="J52" s="52"/>
      <c r="K52" s="52"/>
      <c r="P52"/>
      <c r="Q52"/>
      <c r="R52"/>
    </row>
    <row r="53" spans="3:18" ht="24.75" customHeight="1" x14ac:dyDescent="0.25">
      <c r="C53" s="49"/>
      <c r="D53" s="50"/>
      <c r="E53" s="50"/>
      <c r="F53" s="50"/>
      <c r="G53" s="50"/>
      <c r="H53" s="51"/>
      <c r="I53" s="52"/>
      <c r="J53" s="52"/>
      <c r="K53" s="52"/>
      <c r="P53"/>
      <c r="Q53"/>
      <c r="R53"/>
    </row>
    <row r="54" spans="3:18" ht="24.75" customHeight="1" x14ac:dyDescent="0.25">
      <c r="C54" s="49"/>
      <c r="D54" s="50"/>
      <c r="E54" s="50"/>
      <c r="F54" s="50"/>
      <c r="G54" s="50"/>
      <c r="H54" s="51"/>
      <c r="I54" s="52"/>
      <c r="J54" s="52"/>
      <c r="K54" s="52"/>
      <c r="P54"/>
      <c r="Q54"/>
      <c r="R54"/>
    </row>
    <row r="55" spans="3:18" ht="24.75" customHeight="1" x14ac:dyDescent="0.25">
      <c r="C55" s="49"/>
      <c r="D55" s="50"/>
      <c r="E55" s="50"/>
      <c r="F55" s="50"/>
      <c r="G55" s="50"/>
      <c r="H55" s="51"/>
      <c r="I55" s="52"/>
      <c r="J55" s="52"/>
      <c r="K55" s="52"/>
      <c r="P55"/>
      <c r="Q55"/>
      <c r="R55"/>
    </row>
    <row r="56" spans="3:18" ht="24.75" customHeight="1" x14ac:dyDescent="0.25">
      <c r="C56" s="49"/>
      <c r="D56" s="50"/>
      <c r="E56" s="50"/>
      <c r="F56" s="50"/>
      <c r="G56" s="50"/>
      <c r="H56" s="51"/>
      <c r="I56" s="52"/>
      <c r="J56" s="52"/>
      <c r="K56" s="52"/>
      <c r="P56"/>
      <c r="Q56"/>
      <c r="R56"/>
    </row>
    <row r="57" spans="3:18" ht="24.75" customHeight="1" x14ac:dyDescent="0.25">
      <c r="C57" s="49"/>
      <c r="D57" s="50"/>
      <c r="E57" s="50"/>
      <c r="F57" s="50"/>
      <c r="G57" s="50"/>
      <c r="H57" s="51"/>
      <c r="I57" s="52"/>
      <c r="J57" s="52"/>
      <c r="K57" s="52"/>
      <c r="P57"/>
      <c r="Q57"/>
      <c r="R57"/>
    </row>
    <row r="58" spans="3:18" ht="24.75" customHeight="1" x14ac:dyDescent="0.25">
      <c r="C58" s="49"/>
      <c r="D58" s="50"/>
      <c r="E58" s="50"/>
      <c r="F58" s="50"/>
      <c r="G58" s="50"/>
      <c r="H58" s="51"/>
      <c r="I58" s="52"/>
      <c r="J58" s="52"/>
      <c r="K58" s="52"/>
      <c r="P58"/>
      <c r="Q58"/>
      <c r="R58"/>
    </row>
    <row r="59" spans="3:18" ht="24.75" customHeight="1" x14ac:dyDescent="0.25">
      <c r="C59" s="49"/>
      <c r="D59" s="50"/>
      <c r="E59" s="50"/>
      <c r="F59" s="50"/>
      <c r="G59" s="50"/>
      <c r="H59" s="51"/>
      <c r="I59" s="52"/>
      <c r="J59" s="52"/>
      <c r="K59" s="52"/>
      <c r="P59"/>
      <c r="Q59"/>
      <c r="R59"/>
    </row>
    <row r="60" spans="3:18" ht="24.75" customHeight="1" x14ac:dyDescent="0.25">
      <c r="C60" s="49"/>
      <c r="D60" s="50"/>
      <c r="E60" s="50"/>
      <c r="F60" s="50"/>
      <c r="G60" s="50"/>
      <c r="H60" s="51"/>
      <c r="I60" s="52"/>
      <c r="J60" s="52"/>
      <c r="K60" s="52"/>
      <c r="P60"/>
      <c r="Q60"/>
      <c r="R60"/>
    </row>
    <row r="61" spans="3:18" ht="24.75" customHeight="1" x14ac:dyDescent="0.25">
      <c r="C61" s="49"/>
      <c r="D61" s="50"/>
      <c r="E61" s="50"/>
      <c r="F61" s="50"/>
      <c r="G61" s="50"/>
      <c r="H61" s="51"/>
      <c r="I61" s="52"/>
      <c r="J61" s="52"/>
      <c r="K61" s="52"/>
      <c r="L61"/>
      <c r="M61"/>
      <c r="N61"/>
      <c r="P61"/>
      <c r="Q61"/>
      <c r="R61"/>
    </row>
    <row r="62" spans="3:18" ht="24.75" customHeight="1" x14ac:dyDescent="0.25">
      <c r="C62" s="49"/>
      <c r="D62" s="50"/>
      <c r="E62" s="50"/>
      <c r="F62" s="50"/>
      <c r="G62" s="50"/>
      <c r="H62" s="51"/>
      <c r="I62" s="52"/>
      <c r="J62" s="52"/>
      <c r="K62" s="52"/>
      <c r="L62"/>
      <c r="M62"/>
      <c r="N62"/>
      <c r="P62"/>
      <c r="Q62"/>
      <c r="R62"/>
    </row>
    <row r="63" spans="3:18" ht="24.75" customHeight="1" x14ac:dyDescent="0.25">
      <c r="C63" s="49"/>
      <c r="D63" s="50"/>
      <c r="E63" s="50"/>
      <c r="F63" s="50"/>
      <c r="G63" s="50"/>
      <c r="H63" s="51"/>
      <c r="I63" s="52"/>
      <c r="J63" s="52"/>
      <c r="K63" s="52"/>
      <c r="L63"/>
      <c r="M63"/>
      <c r="N63"/>
      <c r="P63"/>
      <c r="Q63"/>
      <c r="R63"/>
    </row>
    <row r="64" spans="3:18" ht="24.75" customHeight="1" x14ac:dyDescent="0.25">
      <c r="C64" s="49"/>
      <c r="D64" s="50"/>
      <c r="E64" s="50"/>
      <c r="F64" s="50"/>
      <c r="G64" s="50"/>
      <c r="H64" s="51"/>
      <c r="I64" s="52"/>
      <c r="J64" s="52"/>
      <c r="K64" s="52"/>
      <c r="L64"/>
      <c r="M64"/>
      <c r="N64"/>
      <c r="P64"/>
      <c r="Q64"/>
      <c r="R64"/>
    </row>
    <row r="65" spans="3:18" ht="24.75" customHeight="1" x14ac:dyDescent="0.25">
      <c r="C65" s="49"/>
      <c r="D65" s="50"/>
      <c r="E65" s="50"/>
      <c r="F65" s="50"/>
      <c r="G65" s="50"/>
      <c r="H65" s="51"/>
      <c r="I65" s="52"/>
      <c r="J65" s="52"/>
      <c r="K65" s="52"/>
      <c r="L65"/>
      <c r="M65"/>
      <c r="N65"/>
      <c r="P65"/>
      <c r="Q65"/>
      <c r="R65"/>
    </row>
    <row r="66" spans="3:18" ht="24.75" customHeight="1" x14ac:dyDescent="0.25">
      <c r="C66" s="49"/>
      <c r="D66" s="50"/>
      <c r="E66" s="50"/>
      <c r="F66" s="50"/>
      <c r="G66" s="50"/>
      <c r="H66" s="51"/>
      <c r="I66" s="52"/>
      <c r="J66" s="52"/>
      <c r="K66" s="52"/>
      <c r="L66"/>
      <c r="M66"/>
      <c r="N66"/>
      <c r="P66"/>
      <c r="Q66"/>
      <c r="R66"/>
    </row>
    <row r="67" spans="3:18" ht="24.75" customHeight="1" x14ac:dyDescent="0.25">
      <c r="C67" s="49"/>
      <c r="D67" s="50"/>
      <c r="E67" s="50"/>
      <c r="F67" s="50"/>
      <c r="G67" s="50"/>
      <c r="H67" s="51"/>
      <c r="I67" s="52"/>
      <c r="J67" s="52"/>
      <c r="K67" s="52"/>
      <c r="L67"/>
      <c r="M67"/>
      <c r="N67"/>
      <c r="P67"/>
      <c r="Q67"/>
      <c r="R67"/>
    </row>
    <row r="68" spans="3:18" ht="24.75" customHeight="1" x14ac:dyDescent="0.25">
      <c r="C68" s="49"/>
      <c r="D68" s="50"/>
      <c r="E68" s="50"/>
      <c r="F68" s="50"/>
      <c r="G68" s="50"/>
      <c r="H68" s="51"/>
      <c r="I68" s="52"/>
      <c r="J68" s="52"/>
      <c r="K68" s="52"/>
      <c r="L68"/>
      <c r="M68"/>
      <c r="N68"/>
      <c r="P68"/>
      <c r="Q68"/>
      <c r="R68"/>
    </row>
    <row r="69" spans="3:18" ht="24.75" customHeight="1" x14ac:dyDescent="0.25">
      <c r="C69" s="49"/>
      <c r="D69" s="50"/>
      <c r="E69" s="50"/>
      <c r="F69" s="50"/>
      <c r="G69" s="50"/>
      <c r="H69" s="51"/>
      <c r="I69" s="52"/>
      <c r="J69" s="52"/>
      <c r="K69" s="52"/>
      <c r="L69"/>
      <c r="M69"/>
      <c r="N69"/>
      <c r="P69"/>
      <c r="Q69"/>
      <c r="R69"/>
    </row>
    <row r="70" spans="3:18" ht="24.75" customHeight="1" x14ac:dyDescent="0.25">
      <c r="C70" s="49"/>
      <c r="D70" s="50"/>
      <c r="E70" s="50"/>
      <c r="F70" s="50"/>
      <c r="G70" s="50"/>
      <c r="H70" s="51"/>
      <c r="I70" s="52"/>
      <c r="J70" s="52"/>
      <c r="K70" s="52"/>
      <c r="L70"/>
      <c r="M70"/>
      <c r="N70"/>
      <c r="P70"/>
      <c r="Q70"/>
      <c r="R70"/>
    </row>
    <row r="71" spans="3:18" ht="24.75" customHeight="1" x14ac:dyDescent="0.25">
      <c r="C71" s="49"/>
      <c r="D71" s="50"/>
      <c r="E71" s="50"/>
      <c r="F71" s="50"/>
      <c r="G71" s="50"/>
      <c r="H71" s="51"/>
      <c r="I71" s="52"/>
      <c r="J71" s="52"/>
      <c r="K71" s="52"/>
      <c r="L71"/>
      <c r="M71"/>
      <c r="N71"/>
      <c r="P71"/>
      <c r="Q71"/>
      <c r="R71"/>
    </row>
    <row r="72" spans="3:18" ht="24.75" customHeight="1" x14ac:dyDescent="0.25">
      <c r="C72" s="49"/>
      <c r="D72" s="50"/>
      <c r="E72" s="50"/>
      <c r="F72" s="50"/>
      <c r="G72" s="50"/>
      <c r="H72" s="51"/>
      <c r="I72" s="52"/>
      <c r="J72" s="52"/>
      <c r="K72" s="52"/>
      <c r="L72"/>
      <c r="M72"/>
      <c r="N72"/>
      <c r="P72"/>
      <c r="Q72"/>
      <c r="R72"/>
    </row>
    <row r="73" spans="3:18" ht="24.75" customHeight="1" x14ac:dyDescent="0.25">
      <c r="C73" s="49"/>
      <c r="D73" s="50"/>
      <c r="E73" s="50"/>
      <c r="F73" s="50"/>
      <c r="G73" s="50"/>
      <c r="H73" s="51"/>
      <c r="I73" s="52"/>
      <c r="J73" s="52"/>
      <c r="K73" s="52"/>
      <c r="L73"/>
      <c r="M73"/>
      <c r="N73"/>
      <c r="P73"/>
      <c r="Q73"/>
      <c r="R73"/>
    </row>
    <row r="74" spans="3:18" ht="24.75" customHeight="1" x14ac:dyDescent="0.25">
      <c r="C74" s="49"/>
      <c r="D74" s="50"/>
      <c r="E74" s="50"/>
      <c r="F74" s="50"/>
      <c r="G74" s="50"/>
      <c r="H74" s="51"/>
      <c r="I74" s="52"/>
      <c r="J74" s="52"/>
      <c r="K74" s="52"/>
      <c r="L74"/>
      <c r="M74"/>
      <c r="N74"/>
      <c r="P74"/>
      <c r="Q74"/>
      <c r="R74"/>
    </row>
    <row r="75" spans="3:18" ht="24.75" customHeight="1" x14ac:dyDescent="0.25">
      <c r="C75" s="49"/>
      <c r="D75" s="50"/>
      <c r="E75" s="50"/>
      <c r="F75" s="50"/>
      <c r="G75" s="50"/>
      <c r="H75" s="51"/>
      <c r="I75" s="52"/>
      <c r="J75" s="52"/>
      <c r="K75" s="52"/>
      <c r="L75"/>
      <c r="M75"/>
      <c r="N75"/>
      <c r="P75"/>
      <c r="Q75"/>
      <c r="R75"/>
    </row>
    <row r="76" spans="3:18" ht="24.75" customHeight="1" x14ac:dyDescent="0.25">
      <c r="C76" s="49"/>
      <c r="D76" s="50"/>
      <c r="E76" s="50"/>
      <c r="F76" s="50"/>
      <c r="G76" s="50"/>
      <c r="H76" s="51"/>
      <c r="I76" s="52"/>
      <c r="J76" s="52"/>
      <c r="K76" s="52"/>
      <c r="L76"/>
      <c r="M76"/>
      <c r="N76"/>
      <c r="P76"/>
      <c r="Q76"/>
      <c r="R76"/>
    </row>
    <row r="77" spans="3:18" ht="24.75" customHeight="1" x14ac:dyDescent="0.25">
      <c r="C77" s="49"/>
      <c r="D77" s="50"/>
      <c r="E77" s="50"/>
      <c r="F77" s="50"/>
      <c r="G77" s="50"/>
      <c r="H77" s="51"/>
      <c r="I77" s="52"/>
      <c r="J77" s="52"/>
      <c r="K77" s="52"/>
      <c r="L77"/>
      <c r="M77"/>
      <c r="N77"/>
      <c r="P77"/>
      <c r="Q77"/>
      <c r="R77"/>
    </row>
    <row r="78" spans="3:18" ht="24.75" customHeight="1" x14ac:dyDescent="0.25">
      <c r="C78" s="49"/>
      <c r="D78" s="50"/>
      <c r="E78" s="50"/>
      <c r="F78" s="50"/>
      <c r="G78" s="50"/>
      <c r="H78" s="51"/>
      <c r="I78" s="52"/>
      <c r="J78" s="52"/>
      <c r="K78" s="52"/>
      <c r="L78"/>
      <c r="M78"/>
      <c r="N78"/>
      <c r="P78"/>
      <c r="Q78"/>
      <c r="R78"/>
    </row>
    <row r="79" spans="3:18" ht="24.75" customHeight="1" x14ac:dyDescent="0.25">
      <c r="C79" s="49"/>
      <c r="D79" s="50"/>
      <c r="E79" s="50"/>
      <c r="F79" s="50"/>
      <c r="G79" s="50"/>
      <c r="H79" s="51"/>
      <c r="I79" s="52"/>
      <c r="J79" s="52"/>
      <c r="K79" s="52"/>
      <c r="L79"/>
      <c r="M79"/>
      <c r="N79"/>
      <c r="P79"/>
      <c r="Q79"/>
      <c r="R79"/>
    </row>
    <row r="80" spans="3:18" ht="24.75" customHeight="1" x14ac:dyDescent="0.25">
      <c r="C80" s="49"/>
      <c r="D80" s="50"/>
      <c r="E80" s="50"/>
      <c r="F80" s="50"/>
      <c r="G80" s="50"/>
      <c r="H80" s="51"/>
      <c r="I80" s="52"/>
      <c r="J80" s="52"/>
      <c r="K80" s="52"/>
      <c r="L80"/>
      <c r="M80"/>
      <c r="N80"/>
      <c r="P80"/>
      <c r="Q80"/>
      <c r="R80"/>
    </row>
    <row r="81" spans="3:18" ht="24.75" customHeight="1" x14ac:dyDescent="0.25">
      <c r="C81" s="49"/>
      <c r="D81" s="50"/>
      <c r="E81" s="50"/>
      <c r="F81" s="50"/>
      <c r="G81" s="50"/>
      <c r="H81" s="51"/>
      <c r="I81" s="52"/>
      <c r="J81" s="52"/>
      <c r="K81" s="52"/>
      <c r="L81"/>
      <c r="M81"/>
      <c r="N81"/>
      <c r="P81"/>
      <c r="Q81"/>
      <c r="R81"/>
    </row>
    <row r="82" spans="3:18" ht="24.75" customHeight="1" x14ac:dyDescent="0.25">
      <c r="C82" s="49"/>
      <c r="D82" s="50"/>
      <c r="E82" s="50"/>
      <c r="F82" s="50"/>
      <c r="G82" s="50"/>
      <c r="H82" s="51"/>
      <c r="I82" s="52"/>
      <c r="J82" s="52"/>
      <c r="K82" s="52"/>
      <c r="L82"/>
      <c r="M82"/>
      <c r="N82"/>
      <c r="P82"/>
      <c r="Q82"/>
      <c r="R82"/>
    </row>
    <row r="83" spans="3:18" ht="24.75" customHeight="1" x14ac:dyDescent="0.25">
      <c r="C83" s="49"/>
      <c r="D83" s="50"/>
      <c r="E83" s="50"/>
      <c r="F83" s="50"/>
      <c r="G83" s="50"/>
      <c r="H83" s="51"/>
      <c r="I83" s="52"/>
      <c r="J83" s="52"/>
      <c r="K83" s="52"/>
      <c r="L83"/>
      <c r="M83"/>
      <c r="N83"/>
      <c r="P83"/>
      <c r="Q83"/>
      <c r="R83"/>
    </row>
    <row r="84" spans="3:18" ht="24.75" customHeight="1" x14ac:dyDescent="0.25">
      <c r="C84" s="49"/>
      <c r="D84" s="50"/>
      <c r="E84" s="50"/>
      <c r="F84" s="50"/>
      <c r="G84" s="50"/>
      <c r="H84" s="51"/>
      <c r="I84" s="52"/>
      <c r="J84" s="52"/>
      <c r="K84" s="52"/>
      <c r="L84"/>
      <c r="M84"/>
      <c r="N84"/>
      <c r="P84"/>
      <c r="Q84"/>
      <c r="R84"/>
    </row>
    <row r="85" spans="3:18" ht="24.75" customHeight="1" x14ac:dyDescent="0.25">
      <c r="C85" s="49"/>
      <c r="D85" s="50"/>
      <c r="E85" s="50"/>
      <c r="F85" s="50"/>
      <c r="G85" s="50"/>
      <c r="H85" s="51"/>
      <c r="I85" s="52"/>
      <c r="J85" s="52"/>
      <c r="K85" s="52"/>
      <c r="L85"/>
      <c r="M85"/>
      <c r="N85"/>
      <c r="P85"/>
      <c r="Q85"/>
      <c r="R85"/>
    </row>
    <row r="86" spans="3:18" ht="24.75" customHeight="1" x14ac:dyDescent="0.25">
      <c r="C86" s="49"/>
      <c r="D86" s="50"/>
      <c r="E86" s="50"/>
      <c r="F86" s="50"/>
      <c r="G86" s="50"/>
      <c r="H86" s="51"/>
      <c r="I86" s="52"/>
      <c r="J86" s="52"/>
      <c r="K86" s="52"/>
      <c r="L86"/>
      <c r="M86"/>
      <c r="N86"/>
      <c r="P86"/>
      <c r="Q86"/>
      <c r="R86"/>
    </row>
    <row r="87" spans="3:18" ht="24.75" customHeight="1" x14ac:dyDescent="0.25">
      <c r="C87" s="49"/>
      <c r="D87" s="50"/>
      <c r="E87" s="50"/>
      <c r="F87" s="50"/>
      <c r="G87" s="50"/>
      <c r="H87" s="51"/>
      <c r="I87" s="52"/>
      <c r="J87" s="52"/>
      <c r="K87" s="52"/>
      <c r="L87"/>
      <c r="M87"/>
      <c r="N87"/>
      <c r="P87"/>
      <c r="Q87"/>
      <c r="R87"/>
    </row>
    <row r="88" spans="3:18" ht="24.75" customHeight="1" x14ac:dyDescent="0.25">
      <c r="C88" s="49"/>
      <c r="D88" s="50"/>
      <c r="E88" s="50"/>
      <c r="F88" s="50"/>
      <c r="G88" s="50"/>
      <c r="H88" s="51"/>
      <c r="I88" s="52"/>
      <c r="J88" s="52"/>
      <c r="K88" s="52"/>
      <c r="L88"/>
      <c r="M88"/>
      <c r="N88"/>
      <c r="P88"/>
      <c r="Q88"/>
      <c r="R88"/>
    </row>
    <row r="89" spans="3:18" ht="24.75" customHeight="1" x14ac:dyDescent="0.25">
      <c r="C89" s="49"/>
      <c r="D89" s="50"/>
      <c r="E89" s="50"/>
      <c r="F89" s="50"/>
      <c r="G89" s="50"/>
      <c r="H89" s="51"/>
      <c r="I89" s="52"/>
      <c r="J89" s="52"/>
      <c r="K89" s="52"/>
      <c r="L89"/>
      <c r="M89"/>
      <c r="N89"/>
      <c r="P89"/>
      <c r="Q89"/>
      <c r="R89"/>
    </row>
    <row r="90" spans="3:18" ht="24.75" customHeight="1" x14ac:dyDescent="0.25">
      <c r="C90" s="49"/>
      <c r="D90" s="50"/>
      <c r="E90" s="50"/>
      <c r="F90" s="50"/>
      <c r="G90" s="50"/>
      <c r="H90" s="51"/>
      <c r="I90" s="52"/>
      <c r="J90" s="52"/>
      <c r="K90" s="52"/>
      <c r="L90"/>
      <c r="M90"/>
      <c r="N90"/>
      <c r="P90"/>
      <c r="Q90"/>
      <c r="R90"/>
    </row>
    <row r="91" spans="3:18" ht="24.75" customHeight="1" x14ac:dyDescent="0.25">
      <c r="C91" s="49"/>
      <c r="D91" s="50"/>
      <c r="E91" s="50"/>
      <c r="F91" s="50"/>
      <c r="G91" s="50"/>
      <c r="H91" s="51"/>
      <c r="I91" s="52"/>
      <c r="J91" s="52"/>
      <c r="K91" s="52"/>
      <c r="L91"/>
      <c r="M91"/>
      <c r="N91"/>
      <c r="P91"/>
      <c r="Q91"/>
      <c r="R91"/>
    </row>
    <row r="92" spans="3:18" ht="24.75" customHeight="1" x14ac:dyDescent="0.25">
      <c r="C92" s="49"/>
      <c r="D92" s="50"/>
      <c r="E92" s="50"/>
      <c r="F92" s="50"/>
      <c r="G92" s="50"/>
      <c r="H92" s="51"/>
      <c r="I92" s="52"/>
      <c r="J92" s="52"/>
      <c r="K92" s="52"/>
      <c r="L92"/>
      <c r="M92"/>
      <c r="N92"/>
      <c r="P92"/>
      <c r="Q92"/>
      <c r="R92"/>
    </row>
    <row r="93" spans="3:18" ht="24.75" customHeight="1" x14ac:dyDescent="0.25">
      <c r="C93" s="49"/>
      <c r="D93" s="50"/>
      <c r="E93" s="50"/>
      <c r="F93" s="50"/>
      <c r="G93" s="50"/>
      <c r="H93" s="51"/>
      <c r="I93" s="52"/>
      <c r="J93" s="52"/>
      <c r="K93" s="52"/>
      <c r="L93"/>
      <c r="M93"/>
      <c r="N93"/>
      <c r="P93"/>
      <c r="Q93"/>
      <c r="R93"/>
    </row>
    <row r="94" spans="3:18" ht="24.75" customHeight="1" x14ac:dyDescent="0.25">
      <c r="C94" s="49"/>
      <c r="D94" s="50"/>
      <c r="E94" s="50"/>
      <c r="F94" s="50"/>
      <c r="G94" s="50"/>
      <c r="H94" s="51"/>
      <c r="I94" s="52"/>
      <c r="J94" s="52"/>
      <c r="K94" s="52"/>
      <c r="L94"/>
      <c r="M94"/>
      <c r="N94"/>
      <c r="P94"/>
      <c r="Q94"/>
      <c r="R94"/>
    </row>
    <row r="95" spans="3:18" ht="24.75" customHeight="1" x14ac:dyDescent="0.25">
      <c r="C95" s="49"/>
      <c r="D95" s="50"/>
      <c r="E95" s="50"/>
      <c r="F95" s="50"/>
      <c r="G95" s="50"/>
      <c r="H95" s="51"/>
      <c r="I95" s="52"/>
      <c r="J95" s="52"/>
      <c r="K95" s="52"/>
      <c r="L95"/>
      <c r="M95"/>
      <c r="N95"/>
      <c r="P95"/>
      <c r="Q95"/>
      <c r="R95"/>
    </row>
    <row r="96" spans="3:18" ht="24.75" customHeight="1" x14ac:dyDescent="0.25">
      <c r="C96" s="49"/>
      <c r="D96" s="50"/>
      <c r="E96" s="50"/>
      <c r="F96" s="50"/>
      <c r="G96" s="50"/>
      <c r="H96" s="51"/>
      <c r="I96" s="52"/>
      <c r="J96" s="52"/>
      <c r="K96" s="52"/>
      <c r="L96"/>
      <c r="M96"/>
      <c r="N96"/>
      <c r="P96"/>
      <c r="Q96"/>
      <c r="R96"/>
    </row>
    <row r="97" spans="3:18" ht="24.75" customHeight="1" x14ac:dyDescent="0.25">
      <c r="C97" s="49"/>
      <c r="D97" s="50"/>
      <c r="E97" s="50"/>
      <c r="F97" s="50"/>
      <c r="G97" s="50"/>
      <c r="H97" s="51"/>
      <c r="I97" s="52"/>
      <c r="J97" s="52"/>
      <c r="K97" s="52"/>
      <c r="L97"/>
      <c r="M97"/>
      <c r="N97"/>
      <c r="P97"/>
      <c r="Q97"/>
      <c r="R97"/>
    </row>
    <row r="98" spans="3:18" ht="24.75" customHeight="1" x14ac:dyDescent="0.25">
      <c r="C98" s="49"/>
      <c r="D98" s="50"/>
      <c r="E98" s="50"/>
      <c r="F98" s="50"/>
      <c r="G98" s="50"/>
      <c r="H98" s="51"/>
      <c r="I98" s="52"/>
      <c r="J98" s="52"/>
      <c r="K98" s="52"/>
      <c r="L98"/>
      <c r="M98"/>
      <c r="N98"/>
      <c r="P98"/>
      <c r="Q98"/>
      <c r="R98"/>
    </row>
    <row r="99" spans="3:18" ht="24.75" customHeight="1" x14ac:dyDescent="0.25">
      <c r="C99" s="49"/>
      <c r="D99" s="50"/>
      <c r="E99" s="50"/>
      <c r="F99" s="50"/>
      <c r="G99" s="50"/>
      <c r="H99" s="51"/>
      <c r="I99" s="52"/>
      <c r="J99" s="52"/>
      <c r="K99" s="52"/>
      <c r="L99"/>
      <c r="M99"/>
      <c r="N99"/>
      <c r="P99"/>
      <c r="Q99"/>
      <c r="R99"/>
    </row>
    <row r="100" spans="3:18" ht="24.75" customHeight="1" x14ac:dyDescent="0.25">
      <c r="C100" s="49"/>
      <c r="D100" s="50"/>
      <c r="E100" s="50"/>
      <c r="F100" s="50"/>
      <c r="G100" s="50"/>
      <c r="H100" s="51"/>
      <c r="I100" s="52"/>
      <c r="J100" s="52"/>
      <c r="K100" s="52"/>
      <c r="L100"/>
      <c r="M100"/>
      <c r="N100"/>
      <c r="P100"/>
      <c r="Q100"/>
      <c r="R100"/>
    </row>
    <row r="101" spans="3:18" ht="24.75" customHeight="1" x14ac:dyDescent="0.25">
      <c r="C101" s="49"/>
      <c r="D101" s="50"/>
      <c r="E101" s="50"/>
      <c r="F101" s="50"/>
      <c r="G101" s="50"/>
      <c r="H101" s="51"/>
      <c r="I101" s="52"/>
      <c r="J101" s="52"/>
      <c r="K101" s="52"/>
      <c r="L101"/>
      <c r="M101"/>
      <c r="N101"/>
      <c r="P101"/>
      <c r="Q101"/>
      <c r="R101"/>
    </row>
    <row r="102" spans="3:18" ht="24.75" customHeight="1" x14ac:dyDescent="0.25">
      <c r="C102" s="49"/>
      <c r="D102" s="50"/>
      <c r="E102" s="50"/>
      <c r="F102" s="50"/>
      <c r="G102" s="50"/>
      <c r="H102" s="51"/>
      <c r="I102" s="52"/>
      <c r="J102" s="52"/>
      <c r="K102" s="52"/>
      <c r="L102"/>
      <c r="M102"/>
      <c r="N102"/>
      <c r="P102"/>
      <c r="Q102"/>
      <c r="R102"/>
    </row>
    <row r="103" spans="3:18" ht="24.75" customHeight="1" x14ac:dyDescent="0.25">
      <c r="C103" s="49"/>
      <c r="D103" s="50"/>
      <c r="E103" s="50"/>
      <c r="F103" s="50"/>
      <c r="G103" s="50"/>
      <c r="H103" s="51"/>
      <c r="I103" s="52"/>
      <c r="J103" s="52"/>
      <c r="K103" s="52"/>
      <c r="L103"/>
      <c r="M103"/>
      <c r="N103"/>
      <c r="P103"/>
      <c r="Q103"/>
      <c r="R103"/>
    </row>
    <row r="104" spans="3:18" ht="24.75" customHeight="1" x14ac:dyDescent="0.25">
      <c r="C104" s="49"/>
      <c r="D104" s="50"/>
      <c r="E104" s="50"/>
      <c r="F104" s="50"/>
      <c r="G104" s="50"/>
      <c r="H104" s="51"/>
      <c r="I104" s="52"/>
      <c r="J104" s="52"/>
      <c r="K104" s="52"/>
      <c r="L104"/>
      <c r="M104"/>
      <c r="N104"/>
      <c r="P104"/>
      <c r="Q104"/>
      <c r="R104"/>
    </row>
    <row r="105" spans="3:18" ht="24.75" customHeight="1" x14ac:dyDescent="0.25">
      <c r="C105" s="49"/>
      <c r="D105" s="50"/>
      <c r="E105" s="50"/>
      <c r="F105" s="50"/>
      <c r="G105" s="50"/>
      <c r="H105" s="51"/>
      <c r="I105" s="52"/>
      <c r="J105" s="52"/>
      <c r="K105" s="52"/>
      <c r="L105"/>
      <c r="M105"/>
      <c r="N105"/>
      <c r="P105"/>
      <c r="Q105"/>
      <c r="R105"/>
    </row>
    <row r="106" spans="3:18" ht="24.75" customHeight="1" x14ac:dyDescent="0.25">
      <c r="C106" s="49"/>
      <c r="D106" s="50"/>
      <c r="E106" s="50"/>
      <c r="F106" s="50"/>
      <c r="G106" s="50"/>
      <c r="H106" s="51"/>
      <c r="I106" s="52"/>
      <c r="J106" s="52"/>
      <c r="K106" s="52"/>
      <c r="L106"/>
      <c r="M106"/>
      <c r="N106"/>
      <c r="P106"/>
      <c r="Q106"/>
      <c r="R106"/>
    </row>
    <row r="107" spans="3:18" ht="24.75" customHeight="1" x14ac:dyDescent="0.25">
      <c r="C107" s="49"/>
      <c r="D107" s="50"/>
      <c r="E107" s="50"/>
      <c r="F107" s="50"/>
      <c r="G107" s="50"/>
      <c r="H107" s="51"/>
      <c r="I107" s="52"/>
      <c r="J107" s="52"/>
      <c r="K107" s="52"/>
      <c r="L107"/>
      <c r="M107"/>
      <c r="N107"/>
      <c r="P107"/>
      <c r="Q107"/>
      <c r="R107"/>
    </row>
    <row r="108" spans="3:18" ht="24.75" customHeight="1" x14ac:dyDescent="0.25">
      <c r="C108" s="49"/>
      <c r="D108" s="50"/>
      <c r="E108" s="50"/>
      <c r="F108" s="50"/>
      <c r="G108" s="50"/>
      <c r="H108" s="51"/>
      <c r="I108" s="52"/>
      <c r="J108" s="52"/>
      <c r="K108" s="52"/>
      <c r="L108"/>
      <c r="M108"/>
      <c r="N108"/>
      <c r="P108"/>
      <c r="Q108"/>
      <c r="R108"/>
    </row>
    <row r="109" spans="3:18" ht="24.75" customHeight="1" x14ac:dyDescent="0.25">
      <c r="C109" s="49"/>
      <c r="D109" s="50"/>
      <c r="E109" s="50"/>
      <c r="F109" s="50"/>
      <c r="G109" s="50"/>
      <c r="H109" s="51"/>
      <c r="I109" s="52"/>
      <c r="J109" s="52"/>
      <c r="K109" s="52"/>
      <c r="L109"/>
      <c r="M109"/>
      <c r="N109"/>
      <c r="P109"/>
      <c r="Q109"/>
      <c r="R109"/>
    </row>
    <row r="110" spans="3:18" ht="24.75" customHeight="1" x14ac:dyDescent="0.25">
      <c r="C110" s="49"/>
      <c r="D110" s="50"/>
      <c r="E110" s="50"/>
      <c r="F110" s="50"/>
      <c r="G110" s="50"/>
      <c r="H110" s="51"/>
      <c r="I110" s="52"/>
      <c r="J110" s="52"/>
      <c r="K110" s="52"/>
      <c r="L110"/>
      <c r="M110"/>
      <c r="N110"/>
      <c r="P110"/>
      <c r="Q110"/>
      <c r="R110"/>
    </row>
    <row r="111" spans="3:18" ht="24.75" customHeight="1" x14ac:dyDescent="0.25">
      <c r="C111" s="49"/>
      <c r="D111" s="50"/>
      <c r="E111" s="50"/>
      <c r="F111" s="50"/>
      <c r="G111" s="50"/>
      <c r="H111" s="51"/>
      <c r="I111" s="52"/>
      <c r="J111" s="52"/>
      <c r="K111" s="52"/>
      <c r="L111"/>
      <c r="M111"/>
      <c r="N111"/>
      <c r="P111"/>
      <c r="Q111"/>
      <c r="R111"/>
    </row>
    <row r="112" spans="3:18" ht="24.75" customHeight="1" x14ac:dyDescent="0.25">
      <c r="C112" s="49"/>
      <c r="D112" s="50"/>
      <c r="E112" s="50"/>
      <c r="F112" s="50"/>
      <c r="G112" s="50"/>
      <c r="H112" s="51"/>
      <c r="I112" s="52"/>
      <c r="J112" s="52"/>
      <c r="K112" s="52"/>
      <c r="L112"/>
      <c r="M112"/>
      <c r="N112"/>
      <c r="P112"/>
      <c r="Q112"/>
      <c r="R112"/>
    </row>
  </sheetData>
  <sheetProtection password="EFEB" sheet="1" objects="1" scenarios="1"/>
  <mergeCells count="6">
    <mergeCell ref="D33:J33"/>
    <mergeCell ref="B2:R2"/>
    <mergeCell ref="L3:N3"/>
    <mergeCell ref="P3:R3"/>
    <mergeCell ref="I4:K4"/>
    <mergeCell ref="D31:J31"/>
  </mergeCells>
  <pageMargins left="0.511811024" right="0.511811024" top="0.78740157499999996" bottom="0.78740157499999996" header="0.31496062000000002" footer="0.31496062000000002"/>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2"/>
  <dimension ref="B1:AI106"/>
  <sheetViews>
    <sheetView topLeftCell="A6" workbookViewId="0">
      <selection activeCell="E14" sqref="E14"/>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4" width="14.140625" style="4" customWidth="1"/>
    <col min="15" max="15" width="13.5703125" customWidth="1"/>
    <col min="16" max="16" width="16.28515625" style="5" customWidth="1"/>
    <col min="17" max="17" width="14.85546875" style="6" customWidth="1"/>
    <col min="18" max="18" width="18" style="6" customWidth="1"/>
    <col min="250" max="250" width="7.42578125" customWidth="1"/>
    <col min="251" max="251" width="22.7109375" customWidth="1"/>
    <col min="252" max="252" width="14.140625" customWidth="1"/>
    <col min="253" max="253" width="13.140625" customWidth="1"/>
    <col min="254" max="254" width="8.140625" customWidth="1"/>
    <col min="255" max="255" width="10.85546875" customWidth="1"/>
    <col min="256" max="256" width="38.85546875" customWidth="1"/>
    <col min="257" max="257" width="25.5703125" customWidth="1"/>
    <col min="261" max="261" width="44.85546875" customWidth="1"/>
    <col min="262" max="263" width="14.140625" customWidth="1"/>
    <col min="264" max="264" width="13.85546875" customWidth="1"/>
    <col min="265" max="265" width="13.5703125" customWidth="1"/>
    <col min="266" max="266" width="11.7109375" customWidth="1"/>
    <col min="267" max="267" width="14" customWidth="1"/>
    <col min="268" max="268" width="16.28515625" customWidth="1"/>
    <col min="269" max="269" width="12.5703125" customWidth="1"/>
    <col min="270" max="270" width="13.28515625" customWidth="1"/>
    <col min="271" max="271" width="14.85546875" customWidth="1"/>
    <col min="272" max="272" width="18" customWidth="1"/>
    <col min="273" max="273" width="24" customWidth="1"/>
    <col min="506" max="506" width="7.42578125" customWidth="1"/>
    <col min="507" max="507" width="22.7109375" customWidth="1"/>
    <col min="508" max="508" width="14.140625" customWidth="1"/>
    <col min="509" max="509" width="13.140625" customWidth="1"/>
    <col min="510" max="510" width="8.140625" customWidth="1"/>
    <col min="511" max="511" width="10.85546875" customWidth="1"/>
    <col min="512" max="512" width="38.85546875" customWidth="1"/>
    <col min="513" max="513" width="25.5703125" customWidth="1"/>
    <col min="517" max="517" width="44.85546875" customWidth="1"/>
    <col min="518" max="519" width="14.140625" customWidth="1"/>
    <col min="520" max="520" width="13.85546875" customWidth="1"/>
    <col min="521" max="521" width="13.5703125" customWidth="1"/>
    <col min="522" max="522" width="11.7109375" customWidth="1"/>
    <col min="523" max="523" width="14" customWidth="1"/>
    <col min="524" max="524" width="16.28515625" customWidth="1"/>
    <col min="525" max="525" width="12.5703125" customWidth="1"/>
    <col min="526" max="526" width="13.28515625" customWidth="1"/>
    <col min="527" max="527" width="14.85546875" customWidth="1"/>
    <col min="528" max="528" width="18" customWidth="1"/>
    <col min="529" max="529" width="24" customWidth="1"/>
    <col min="762" max="762" width="7.42578125" customWidth="1"/>
    <col min="763" max="763" width="22.7109375" customWidth="1"/>
    <col min="764" max="764" width="14.140625" customWidth="1"/>
    <col min="765" max="765" width="13.140625" customWidth="1"/>
    <col min="766" max="766" width="8.140625" customWidth="1"/>
    <col min="767" max="767" width="10.85546875" customWidth="1"/>
    <col min="768" max="768" width="38.85546875" customWidth="1"/>
    <col min="769" max="769" width="25.5703125" customWidth="1"/>
    <col min="773" max="773" width="44.85546875" customWidth="1"/>
    <col min="774" max="775" width="14.140625" customWidth="1"/>
    <col min="776" max="776" width="13.85546875" customWidth="1"/>
    <col min="777" max="777" width="13.5703125" customWidth="1"/>
    <col min="778" max="778" width="11.7109375" customWidth="1"/>
    <col min="779" max="779" width="14" customWidth="1"/>
    <col min="780" max="780" width="16.28515625" customWidth="1"/>
    <col min="781" max="781" width="12.5703125" customWidth="1"/>
    <col min="782" max="782" width="13.28515625" customWidth="1"/>
    <col min="783" max="783" width="14.85546875" customWidth="1"/>
    <col min="784" max="784" width="18" customWidth="1"/>
    <col min="785" max="785" width="24" customWidth="1"/>
    <col min="1018" max="1018" width="7.42578125" customWidth="1"/>
    <col min="1019" max="1019" width="22.7109375" customWidth="1"/>
    <col min="1020" max="1020" width="14.140625" customWidth="1"/>
    <col min="1021" max="1021" width="13.140625" customWidth="1"/>
    <col min="1022" max="1022" width="8.140625" customWidth="1"/>
    <col min="1023" max="1023" width="10.85546875" customWidth="1"/>
    <col min="1024" max="1024" width="38.85546875" customWidth="1"/>
    <col min="1025" max="1025" width="25.5703125" customWidth="1"/>
    <col min="1029" max="1029" width="44.85546875" customWidth="1"/>
    <col min="1030" max="1031" width="14.140625" customWidth="1"/>
    <col min="1032" max="1032" width="13.85546875" customWidth="1"/>
    <col min="1033" max="1033" width="13.5703125" customWidth="1"/>
    <col min="1034" max="1034" width="11.7109375" customWidth="1"/>
    <col min="1035" max="1035" width="14" customWidth="1"/>
    <col min="1036" max="1036" width="16.28515625" customWidth="1"/>
    <col min="1037" max="1037" width="12.5703125" customWidth="1"/>
    <col min="1038" max="1038" width="13.28515625" customWidth="1"/>
    <col min="1039" max="1039" width="14.85546875" customWidth="1"/>
    <col min="1040" max="1040" width="18" customWidth="1"/>
    <col min="1041" max="1041" width="24" customWidth="1"/>
    <col min="1274" max="1274" width="7.42578125" customWidth="1"/>
    <col min="1275" max="1275" width="22.7109375" customWidth="1"/>
    <col min="1276" max="1276" width="14.140625" customWidth="1"/>
    <col min="1277" max="1277" width="13.140625" customWidth="1"/>
    <col min="1278" max="1278" width="8.140625" customWidth="1"/>
    <col min="1279" max="1279" width="10.85546875" customWidth="1"/>
    <col min="1280" max="1280" width="38.85546875" customWidth="1"/>
    <col min="1281" max="1281" width="25.5703125" customWidth="1"/>
    <col min="1285" max="1285" width="44.85546875" customWidth="1"/>
    <col min="1286" max="1287" width="14.140625" customWidth="1"/>
    <col min="1288" max="1288" width="13.85546875" customWidth="1"/>
    <col min="1289" max="1289" width="13.5703125" customWidth="1"/>
    <col min="1290" max="1290" width="11.7109375" customWidth="1"/>
    <col min="1291" max="1291" width="14" customWidth="1"/>
    <col min="1292" max="1292" width="16.28515625" customWidth="1"/>
    <col min="1293" max="1293" width="12.5703125" customWidth="1"/>
    <col min="1294" max="1294" width="13.28515625" customWidth="1"/>
    <col min="1295" max="1295" width="14.85546875" customWidth="1"/>
    <col min="1296" max="1296" width="18" customWidth="1"/>
    <col min="1297" max="1297" width="24" customWidth="1"/>
    <col min="1530" max="1530" width="7.42578125" customWidth="1"/>
    <col min="1531" max="1531" width="22.7109375" customWidth="1"/>
    <col min="1532" max="1532" width="14.140625" customWidth="1"/>
    <col min="1533" max="1533" width="13.140625" customWidth="1"/>
    <col min="1534" max="1534" width="8.140625" customWidth="1"/>
    <col min="1535" max="1535" width="10.85546875" customWidth="1"/>
    <col min="1536" max="1536" width="38.85546875" customWidth="1"/>
    <col min="1537" max="1537" width="25.5703125" customWidth="1"/>
    <col min="1541" max="1541" width="44.85546875" customWidth="1"/>
    <col min="1542" max="1543" width="14.140625" customWidth="1"/>
    <col min="1544" max="1544" width="13.85546875" customWidth="1"/>
    <col min="1545" max="1545" width="13.5703125" customWidth="1"/>
    <col min="1546" max="1546" width="11.7109375" customWidth="1"/>
    <col min="1547" max="1547" width="14" customWidth="1"/>
    <col min="1548" max="1548" width="16.28515625" customWidth="1"/>
    <col min="1549" max="1549" width="12.5703125" customWidth="1"/>
    <col min="1550" max="1550" width="13.28515625" customWidth="1"/>
    <col min="1551" max="1551" width="14.85546875" customWidth="1"/>
    <col min="1552" max="1552" width="18" customWidth="1"/>
    <col min="1553" max="1553" width="24" customWidth="1"/>
    <col min="1786" max="1786" width="7.42578125" customWidth="1"/>
    <col min="1787" max="1787" width="22.7109375" customWidth="1"/>
    <col min="1788" max="1788" width="14.140625" customWidth="1"/>
    <col min="1789" max="1789" width="13.140625" customWidth="1"/>
    <col min="1790" max="1790" width="8.140625" customWidth="1"/>
    <col min="1791" max="1791" width="10.85546875" customWidth="1"/>
    <col min="1792" max="1792" width="38.85546875" customWidth="1"/>
    <col min="1793" max="1793" width="25.5703125" customWidth="1"/>
    <col min="1797" max="1797" width="44.85546875" customWidth="1"/>
    <col min="1798" max="1799" width="14.140625" customWidth="1"/>
    <col min="1800" max="1800" width="13.85546875" customWidth="1"/>
    <col min="1801" max="1801" width="13.5703125" customWidth="1"/>
    <col min="1802" max="1802" width="11.7109375" customWidth="1"/>
    <col min="1803" max="1803" width="14" customWidth="1"/>
    <col min="1804" max="1804" width="16.28515625" customWidth="1"/>
    <col min="1805" max="1805" width="12.5703125" customWidth="1"/>
    <col min="1806" max="1806" width="13.28515625" customWidth="1"/>
    <col min="1807" max="1807" width="14.85546875" customWidth="1"/>
    <col min="1808" max="1808" width="18" customWidth="1"/>
    <col min="1809" max="1809" width="24" customWidth="1"/>
    <col min="2042" max="2042" width="7.42578125" customWidth="1"/>
    <col min="2043" max="2043" width="22.7109375" customWidth="1"/>
    <col min="2044" max="2044" width="14.140625" customWidth="1"/>
    <col min="2045" max="2045" width="13.140625" customWidth="1"/>
    <col min="2046" max="2046" width="8.140625" customWidth="1"/>
    <col min="2047" max="2047" width="10.85546875" customWidth="1"/>
    <col min="2048" max="2048" width="38.85546875" customWidth="1"/>
    <col min="2049" max="2049" width="25.5703125" customWidth="1"/>
    <col min="2053" max="2053" width="44.85546875" customWidth="1"/>
    <col min="2054" max="2055" width="14.140625" customWidth="1"/>
    <col min="2056" max="2056" width="13.85546875" customWidth="1"/>
    <col min="2057" max="2057" width="13.5703125" customWidth="1"/>
    <col min="2058" max="2058" width="11.7109375" customWidth="1"/>
    <col min="2059" max="2059" width="14" customWidth="1"/>
    <col min="2060" max="2060" width="16.28515625" customWidth="1"/>
    <col min="2061" max="2061" width="12.5703125" customWidth="1"/>
    <col min="2062" max="2062" width="13.28515625" customWidth="1"/>
    <col min="2063" max="2063" width="14.85546875" customWidth="1"/>
    <col min="2064" max="2064" width="18" customWidth="1"/>
    <col min="2065" max="2065" width="24" customWidth="1"/>
    <col min="2298" max="2298" width="7.42578125" customWidth="1"/>
    <col min="2299" max="2299" width="22.7109375" customWidth="1"/>
    <col min="2300" max="2300" width="14.140625" customWidth="1"/>
    <col min="2301" max="2301" width="13.140625" customWidth="1"/>
    <col min="2302" max="2302" width="8.140625" customWidth="1"/>
    <col min="2303" max="2303" width="10.85546875" customWidth="1"/>
    <col min="2304" max="2304" width="38.85546875" customWidth="1"/>
    <col min="2305" max="2305" width="25.5703125" customWidth="1"/>
    <col min="2309" max="2309" width="44.85546875" customWidth="1"/>
    <col min="2310" max="2311" width="14.140625" customWidth="1"/>
    <col min="2312" max="2312" width="13.85546875" customWidth="1"/>
    <col min="2313" max="2313" width="13.5703125" customWidth="1"/>
    <col min="2314" max="2314" width="11.7109375" customWidth="1"/>
    <col min="2315" max="2315" width="14" customWidth="1"/>
    <col min="2316" max="2316" width="16.28515625" customWidth="1"/>
    <col min="2317" max="2317" width="12.5703125" customWidth="1"/>
    <col min="2318" max="2318" width="13.28515625" customWidth="1"/>
    <col min="2319" max="2319" width="14.85546875" customWidth="1"/>
    <col min="2320" max="2320" width="18" customWidth="1"/>
    <col min="2321" max="2321" width="24" customWidth="1"/>
    <col min="2554" max="2554" width="7.42578125" customWidth="1"/>
    <col min="2555" max="2555" width="22.7109375" customWidth="1"/>
    <col min="2556" max="2556" width="14.140625" customWidth="1"/>
    <col min="2557" max="2557" width="13.140625" customWidth="1"/>
    <col min="2558" max="2558" width="8.140625" customWidth="1"/>
    <col min="2559" max="2559" width="10.85546875" customWidth="1"/>
    <col min="2560" max="2560" width="38.85546875" customWidth="1"/>
    <col min="2561" max="2561" width="25.5703125" customWidth="1"/>
    <col min="2565" max="2565" width="44.85546875" customWidth="1"/>
    <col min="2566" max="2567" width="14.140625" customWidth="1"/>
    <col min="2568" max="2568" width="13.85546875" customWidth="1"/>
    <col min="2569" max="2569" width="13.5703125" customWidth="1"/>
    <col min="2570" max="2570" width="11.7109375" customWidth="1"/>
    <col min="2571" max="2571" width="14" customWidth="1"/>
    <col min="2572" max="2572" width="16.28515625" customWidth="1"/>
    <col min="2573" max="2573" width="12.5703125" customWidth="1"/>
    <col min="2574" max="2574" width="13.28515625" customWidth="1"/>
    <col min="2575" max="2575" width="14.85546875" customWidth="1"/>
    <col min="2576" max="2576" width="18" customWidth="1"/>
    <col min="2577" max="2577" width="24" customWidth="1"/>
    <col min="2810" max="2810" width="7.42578125" customWidth="1"/>
    <col min="2811" max="2811" width="22.7109375" customWidth="1"/>
    <col min="2812" max="2812" width="14.140625" customWidth="1"/>
    <col min="2813" max="2813" width="13.140625" customWidth="1"/>
    <col min="2814" max="2814" width="8.140625" customWidth="1"/>
    <col min="2815" max="2815" width="10.85546875" customWidth="1"/>
    <col min="2816" max="2816" width="38.85546875" customWidth="1"/>
    <col min="2817" max="2817" width="25.5703125" customWidth="1"/>
    <col min="2821" max="2821" width="44.85546875" customWidth="1"/>
    <col min="2822" max="2823" width="14.140625" customWidth="1"/>
    <col min="2824" max="2824" width="13.85546875" customWidth="1"/>
    <col min="2825" max="2825" width="13.5703125" customWidth="1"/>
    <col min="2826" max="2826" width="11.7109375" customWidth="1"/>
    <col min="2827" max="2827" width="14" customWidth="1"/>
    <col min="2828" max="2828" width="16.28515625" customWidth="1"/>
    <col min="2829" max="2829" width="12.5703125" customWidth="1"/>
    <col min="2830" max="2830" width="13.28515625" customWidth="1"/>
    <col min="2831" max="2831" width="14.85546875" customWidth="1"/>
    <col min="2832" max="2832" width="18" customWidth="1"/>
    <col min="2833" max="2833" width="24" customWidth="1"/>
    <col min="3066" max="3066" width="7.42578125" customWidth="1"/>
    <col min="3067" max="3067" width="22.7109375" customWidth="1"/>
    <col min="3068" max="3068" width="14.140625" customWidth="1"/>
    <col min="3069" max="3069" width="13.140625" customWidth="1"/>
    <col min="3070" max="3070" width="8.140625" customWidth="1"/>
    <col min="3071" max="3071" width="10.85546875" customWidth="1"/>
    <col min="3072" max="3072" width="38.85546875" customWidth="1"/>
    <col min="3073" max="3073" width="25.5703125" customWidth="1"/>
    <col min="3077" max="3077" width="44.85546875" customWidth="1"/>
    <col min="3078" max="3079" width="14.140625" customWidth="1"/>
    <col min="3080" max="3080" width="13.85546875" customWidth="1"/>
    <col min="3081" max="3081" width="13.5703125" customWidth="1"/>
    <col min="3082" max="3082" width="11.7109375" customWidth="1"/>
    <col min="3083" max="3083" width="14" customWidth="1"/>
    <col min="3084" max="3084" width="16.28515625" customWidth="1"/>
    <col min="3085" max="3085" width="12.5703125" customWidth="1"/>
    <col min="3086" max="3086" width="13.28515625" customWidth="1"/>
    <col min="3087" max="3087" width="14.85546875" customWidth="1"/>
    <col min="3088" max="3088" width="18" customWidth="1"/>
    <col min="3089" max="3089" width="24" customWidth="1"/>
    <col min="3322" max="3322" width="7.42578125" customWidth="1"/>
    <col min="3323" max="3323" width="22.7109375" customWidth="1"/>
    <col min="3324" max="3324" width="14.140625" customWidth="1"/>
    <col min="3325" max="3325" width="13.140625" customWidth="1"/>
    <col min="3326" max="3326" width="8.140625" customWidth="1"/>
    <col min="3327" max="3327" width="10.85546875" customWidth="1"/>
    <col min="3328" max="3328" width="38.85546875" customWidth="1"/>
    <col min="3329" max="3329" width="25.5703125" customWidth="1"/>
    <col min="3333" max="3333" width="44.85546875" customWidth="1"/>
    <col min="3334" max="3335" width="14.140625" customWidth="1"/>
    <col min="3336" max="3336" width="13.85546875" customWidth="1"/>
    <col min="3337" max="3337" width="13.5703125" customWidth="1"/>
    <col min="3338" max="3338" width="11.7109375" customWidth="1"/>
    <col min="3339" max="3339" width="14" customWidth="1"/>
    <col min="3340" max="3340" width="16.28515625" customWidth="1"/>
    <col min="3341" max="3341" width="12.5703125" customWidth="1"/>
    <col min="3342" max="3342" width="13.28515625" customWidth="1"/>
    <col min="3343" max="3343" width="14.85546875" customWidth="1"/>
    <col min="3344" max="3344" width="18" customWidth="1"/>
    <col min="3345" max="3345" width="24" customWidth="1"/>
    <col min="3578" max="3578" width="7.42578125" customWidth="1"/>
    <col min="3579" max="3579" width="22.7109375" customWidth="1"/>
    <col min="3580" max="3580" width="14.140625" customWidth="1"/>
    <col min="3581" max="3581" width="13.140625" customWidth="1"/>
    <col min="3582" max="3582" width="8.140625" customWidth="1"/>
    <col min="3583" max="3583" width="10.85546875" customWidth="1"/>
    <col min="3584" max="3584" width="38.85546875" customWidth="1"/>
    <col min="3585" max="3585" width="25.5703125" customWidth="1"/>
    <col min="3589" max="3589" width="44.85546875" customWidth="1"/>
    <col min="3590" max="3591" width="14.140625" customWidth="1"/>
    <col min="3592" max="3592" width="13.85546875" customWidth="1"/>
    <col min="3593" max="3593" width="13.5703125" customWidth="1"/>
    <col min="3594" max="3594" width="11.7109375" customWidth="1"/>
    <col min="3595" max="3595" width="14" customWidth="1"/>
    <col min="3596" max="3596" width="16.28515625" customWidth="1"/>
    <col min="3597" max="3597" width="12.5703125" customWidth="1"/>
    <col min="3598" max="3598" width="13.28515625" customWidth="1"/>
    <col min="3599" max="3599" width="14.85546875" customWidth="1"/>
    <col min="3600" max="3600" width="18" customWidth="1"/>
    <col min="3601" max="3601" width="24" customWidth="1"/>
    <col min="3834" max="3834" width="7.42578125" customWidth="1"/>
    <col min="3835" max="3835" width="22.7109375" customWidth="1"/>
    <col min="3836" max="3836" width="14.140625" customWidth="1"/>
    <col min="3837" max="3837" width="13.140625" customWidth="1"/>
    <col min="3838" max="3838" width="8.140625" customWidth="1"/>
    <col min="3839" max="3839" width="10.85546875" customWidth="1"/>
    <col min="3840" max="3840" width="38.85546875" customWidth="1"/>
    <col min="3841" max="3841" width="25.5703125" customWidth="1"/>
    <col min="3845" max="3845" width="44.85546875" customWidth="1"/>
    <col min="3846" max="3847" width="14.140625" customWidth="1"/>
    <col min="3848" max="3848" width="13.85546875" customWidth="1"/>
    <col min="3849" max="3849" width="13.5703125" customWidth="1"/>
    <col min="3850" max="3850" width="11.7109375" customWidth="1"/>
    <col min="3851" max="3851" width="14" customWidth="1"/>
    <col min="3852" max="3852" width="16.28515625" customWidth="1"/>
    <col min="3853" max="3853" width="12.5703125" customWidth="1"/>
    <col min="3854" max="3854" width="13.28515625" customWidth="1"/>
    <col min="3855" max="3855" width="14.85546875" customWidth="1"/>
    <col min="3856" max="3856" width="18" customWidth="1"/>
    <col min="3857" max="3857" width="24" customWidth="1"/>
    <col min="4090" max="4090" width="7.42578125" customWidth="1"/>
    <col min="4091" max="4091" width="22.7109375" customWidth="1"/>
    <col min="4092" max="4092" width="14.140625" customWidth="1"/>
    <col min="4093" max="4093" width="13.140625" customWidth="1"/>
    <col min="4094" max="4094" width="8.140625" customWidth="1"/>
    <col min="4095" max="4095" width="10.85546875" customWidth="1"/>
    <col min="4096" max="4096" width="38.85546875" customWidth="1"/>
    <col min="4097" max="4097" width="25.5703125" customWidth="1"/>
    <col min="4101" max="4101" width="44.85546875" customWidth="1"/>
    <col min="4102" max="4103" width="14.140625" customWidth="1"/>
    <col min="4104" max="4104" width="13.85546875" customWidth="1"/>
    <col min="4105" max="4105" width="13.5703125" customWidth="1"/>
    <col min="4106" max="4106" width="11.7109375" customWidth="1"/>
    <col min="4107" max="4107" width="14" customWidth="1"/>
    <col min="4108" max="4108" width="16.28515625" customWidth="1"/>
    <col min="4109" max="4109" width="12.5703125" customWidth="1"/>
    <col min="4110" max="4110" width="13.28515625" customWidth="1"/>
    <col min="4111" max="4111" width="14.85546875" customWidth="1"/>
    <col min="4112" max="4112" width="18" customWidth="1"/>
    <col min="4113" max="4113" width="24" customWidth="1"/>
    <col min="4346" max="4346" width="7.42578125" customWidth="1"/>
    <col min="4347" max="4347" width="22.7109375" customWidth="1"/>
    <col min="4348" max="4348" width="14.140625" customWidth="1"/>
    <col min="4349" max="4349" width="13.140625" customWidth="1"/>
    <col min="4350" max="4350" width="8.140625" customWidth="1"/>
    <col min="4351" max="4351" width="10.85546875" customWidth="1"/>
    <col min="4352" max="4352" width="38.85546875" customWidth="1"/>
    <col min="4353" max="4353" width="25.5703125" customWidth="1"/>
    <col min="4357" max="4357" width="44.85546875" customWidth="1"/>
    <col min="4358" max="4359" width="14.140625" customWidth="1"/>
    <col min="4360" max="4360" width="13.85546875" customWidth="1"/>
    <col min="4361" max="4361" width="13.5703125" customWidth="1"/>
    <col min="4362" max="4362" width="11.7109375" customWidth="1"/>
    <col min="4363" max="4363" width="14" customWidth="1"/>
    <col min="4364" max="4364" width="16.28515625" customWidth="1"/>
    <col min="4365" max="4365" width="12.5703125" customWidth="1"/>
    <col min="4366" max="4366" width="13.28515625" customWidth="1"/>
    <col min="4367" max="4367" width="14.85546875" customWidth="1"/>
    <col min="4368" max="4368" width="18" customWidth="1"/>
    <col min="4369" max="4369" width="24" customWidth="1"/>
    <col min="4602" max="4602" width="7.42578125" customWidth="1"/>
    <col min="4603" max="4603" width="22.7109375" customWidth="1"/>
    <col min="4604" max="4604" width="14.140625" customWidth="1"/>
    <col min="4605" max="4605" width="13.140625" customWidth="1"/>
    <col min="4606" max="4606" width="8.140625" customWidth="1"/>
    <col min="4607" max="4607" width="10.85546875" customWidth="1"/>
    <col min="4608" max="4608" width="38.85546875" customWidth="1"/>
    <col min="4609" max="4609" width="25.5703125" customWidth="1"/>
    <col min="4613" max="4613" width="44.85546875" customWidth="1"/>
    <col min="4614" max="4615" width="14.140625" customWidth="1"/>
    <col min="4616" max="4616" width="13.85546875" customWidth="1"/>
    <col min="4617" max="4617" width="13.5703125" customWidth="1"/>
    <col min="4618" max="4618" width="11.7109375" customWidth="1"/>
    <col min="4619" max="4619" width="14" customWidth="1"/>
    <col min="4620" max="4620" width="16.28515625" customWidth="1"/>
    <col min="4621" max="4621" width="12.5703125" customWidth="1"/>
    <col min="4622" max="4622" width="13.28515625" customWidth="1"/>
    <col min="4623" max="4623" width="14.85546875" customWidth="1"/>
    <col min="4624" max="4624" width="18" customWidth="1"/>
    <col min="4625" max="4625" width="24" customWidth="1"/>
    <col min="4858" max="4858" width="7.42578125" customWidth="1"/>
    <col min="4859" max="4859" width="22.7109375" customWidth="1"/>
    <col min="4860" max="4860" width="14.140625" customWidth="1"/>
    <col min="4861" max="4861" width="13.140625" customWidth="1"/>
    <col min="4862" max="4862" width="8.140625" customWidth="1"/>
    <col min="4863" max="4863" width="10.85546875" customWidth="1"/>
    <col min="4864" max="4864" width="38.85546875" customWidth="1"/>
    <col min="4865" max="4865" width="25.5703125" customWidth="1"/>
    <col min="4869" max="4869" width="44.85546875" customWidth="1"/>
    <col min="4870" max="4871" width="14.140625" customWidth="1"/>
    <col min="4872" max="4872" width="13.85546875" customWidth="1"/>
    <col min="4873" max="4873" width="13.5703125" customWidth="1"/>
    <col min="4874" max="4874" width="11.7109375" customWidth="1"/>
    <col min="4875" max="4875" width="14" customWidth="1"/>
    <col min="4876" max="4876" width="16.28515625" customWidth="1"/>
    <col min="4877" max="4877" width="12.5703125" customWidth="1"/>
    <col min="4878" max="4878" width="13.28515625" customWidth="1"/>
    <col min="4879" max="4879" width="14.85546875" customWidth="1"/>
    <col min="4880" max="4880" width="18" customWidth="1"/>
    <col min="4881" max="4881" width="24" customWidth="1"/>
    <col min="5114" max="5114" width="7.42578125" customWidth="1"/>
    <col min="5115" max="5115" width="22.7109375" customWidth="1"/>
    <col min="5116" max="5116" width="14.140625" customWidth="1"/>
    <col min="5117" max="5117" width="13.140625" customWidth="1"/>
    <col min="5118" max="5118" width="8.140625" customWidth="1"/>
    <col min="5119" max="5119" width="10.85546875" customWidth="1"/>
    <col min="5120" max="5120" width="38.85546875" customWidth="1"/>
    <col min="5121" max="5121" width="25.5703125" customWidth="1"/>
    <col min="5125" max="5125" width="44.85546875" customWidth="1"/>
    <col min="5126" max="5127" width="14.140625" customWidth="1"/>
    <col min="5128" max="5128" width="13.85546875" customWidth="1"/>
    <col min="5129" max="5129" width="13.5703125" customWidth="1"/>
    <col min="5130" max="5130" width="11.7109375" customWidth="1"/>
    <col min="5131" max="5131" width="14" customWidth="1"/>
    <col min="5132" max="5132" width="16.28515625" customWidth="1"/>
    <col min="5133" max="5133" width="12.5703125" customWidth="1"/>
    <col min="5134" max="5134" width="13.28515625" customWidth="1"/>
    <col min="5135" max="5135" width="14.85546875" customWidth="1"/>
    <col min="5136" max="5136" width="18" customWidth="1"/>
    <col min="5137" max="5137" width="24" customWidth="1"/>
    <col min="5370" max="5370" width="7.42578125" customWidth="1"/>
    <col min="5371" max="5371" width="22.7109375" customWidth="1"/>
    <col min="5372" max="5372" width="14.140625" customWidth="1"/>
    <col min="5373" max="5373" width="13.140625" customWidth="1"/>
    <col min="5374" max="5374" width="8.140625" customWidth="1"/>
    <col min="5375" max="5375" width="10.85546875" customWidth="1"/>
    <col min="5376" max="5376" width="38.85546875" customWidth="1"/>
    <col min="5377" max="5377" width="25.5703125" customWidth="1"/>
    <col min="5381" max="5381" width="44.85546875" customWidth="1"/>
    <col min="5382" max="5383" width="14.140625" customWidth="1"/>
    <col min="5384" max="5384" width="13.85546875" customWidth="1"/>
    <col min="5385" max="5385" width="13.5703125" customWidth="1"/>
    <col min="5386" max="5386" width="11.7109375" customWidth="1"/>
    <col min="5387" max="5387" width="14" customWidth="1"/>
    <col min="5388" max="5388" width="16.28515625" customWidth="1"/>
    <col min="5389" max="5389" width="12.5703125" customWidth="1"/>
    <col min="5390" max="5390" width="13.28515625" customWidth="1"/>
    <col min="5391" max="5391" width="14.85546875" customWidth="1"/>
    <col min="5392" max="5392" width="18" customWidth="1"/>
    <col min="5393" max="5393" width="24" customWidth="1"/>
    <col min="5626" max="5626" width="7.42578125" customWidth="1"/>
    <col min="5627" max="5627" width="22.7109375" customWidth="1"/>
    <col min="5628" max="5628" width="14.140625" customWidth="1"/>
    <col min="5629" max="5629" width="13.140625" customWidth="1"/>
    <col min="5630" max="5630" width="8.140625" customWidth="1"/>
    <col min="5631" max="5631" width="10.85546875" customWidth="1"/>
    <col min="5632" max="5632" width="38.85546875" customWidth="1"/>
    <col min="5633" max="5633" width="25.5703125" customWidth="1"/>
    <col min="5637" max="5637" width="44.85546875" customWidth="1"/>
    <col min="5638" max="5639" width="14.140625" customWidth="1"/>
    <col min="5640" max="5640" width="13.85546875" customWidth="1"/>
    <col min="5641" max="5641" width="13.5703125" customWidth="1"/>
    <col min="5642" max="5642" width="11.7109375" customWidth="1"/>
    <col min="5643" max="5643" width="14" customWidth="1"/>
    <col min="5644" max="5644" width="16.28515625" customWidth="1"/>
    <col min="5645" max="5645" width="12.5703125" customWidth="1"/>
    <col min="5646" max="5646" width="13.28515625" customWidth="1"/>
    <col min="5647" max="5647" width="14.85546875" customWidth="1"/>
    <col min="5648" max="5648" width="18" customWidth="1"/>
    <col min="5649" max="5649" width="24" customWidth="1"/>
    <col min="5882" max="5882" width="7.42578125" customWidth="1"/>
    <col min="5883" max="5883" width="22.7109375" customWidth="1"/>
    <col min="5884" max="5884" width="14.140625" customWidth="1"/>
    <col min="5885" max="5885" width="13.140625" customWidth="1"/>
    <col min="5886" max="5886" width="8.140625" customWidth="1"/>
    <col min="5887" max="5887" width="10.85546875" customWidth="1"/>
    <col min="5888" max="5888" width="38.85546875" customWidth="1"/>
    <col min="5889" max="5889" width="25.5703125" customWidth="1"/>
    <col min="5893" max="5893" width="44.85546875" customWidth="1"/>
    <col min="5894" max="5895" width="14.140625" customWidth="1"/>
    <col min="5896" max="5896" width="13.85546875" customWidth="1"/>
    <col min="5897" max="5897" width="13.5703125" customWidth="1"/>
    <col min="5898" max="5898" width="11.7109375" customWidth="1"/>
    <col min="5899" max="5899" width="14" customWidth="1"/>
    <col min="5900" max="5900" width="16.28515625" customWidth="1"/>
    <col min="5901" max="5901" width="12.5703125" customWidth="1"/>
    <col min="5902" max="5902" width="13.28515625" customWidth="1"/>
    <col min="5903" max="5903" width="14.85546875" customWidth="1"/>
    <col min="5904" max="5904" width="18" customWidth="1"/>
    <col min="5905" max="5905" width="24" customWidth="1"/>
    <col min="6138" max="6138" width="7.42578125" customWidth="1"/>
    <col min="6139" max="6139" width="22.7109375" customWidth="1"/>
    <col min="6140" max="6140" width="14.140625" customWidth="1"/>
    <col min="6141" max="6141" width="13.140625" customWidth="1"/>
    <col min="6142" max="6142" width="8.140625" customWidth="1"/>
    <col min="6143" max="6143" width="10.85546875" customWidth="1"/>
    <col min="6144" max="6144" width="38.85546875" customWidth="1"/>
    <col min="6145" max="6145" width="25.5703125" customWidth="1"/>
    <col min="6149" max="6149" width="44.85546875" customWidth="1"/>
    <col min="6150" max="6151" width="14.140625" customWidth="1"/>
    <col min="6152" max="6152" width="13.85546875" customWidth="1"/>
    <col min="6153" max="6153" width="13.5703125" customWidth="1"/>
    <col min="6154" max="6154" width="11.7109375" customWidth="1"/>
    <col min="6155" max="6155" width="14" customWidth="1"/>
    <col min="6156" max="6156" width="16.28515625" customWidth="1"/>
    <col min="6157" max="6157" width="12.5703125" customWidth="1"/>
    <col min="6158" max="6158" width="13.28515625" customWidth="1"/>
    <col min="6159" max="6159" width="14.85546875" customWidth="1"/>
    <col min="6160" max="6160" width="18" customWidth="1"/>
    <col min="6161" max="6161" width="24" customWidth="1"/>
    <col min="6394" max="6394" width="7.42578125" customWidth="1"/>
    <col min="6395" max="6395" width="22.7109375" customWidth="1"/>
    <col min="6396" max="6396" width="14.140625" customWidth="1"/>
    <col min="6397" max="6397" width="13.140625" customWidth="1"/>
    <col min="6398" max="6398" width="8.140625" customWidth="1"/>
    <col min="6399" max="6399" width="10.85546875" customWidth="1"/>
    <col min="6400" max="6400" width="38.85546875" customWidth="1"/>
    <col min="6401" max="6401" width="25.5703125" customWidth="1"/>
    <col min="6405" max="6405" width="44.85546875" customWidth="1"/>
    <col min="6406" max="6407" width="14.140625" customWidth="1"/>
    <col min="6408" max="6408" width="13.85546875" customWidth="1"/>
    <col min="6409" max="6409" width="13.5703125" customWidth="1"/>
    <col min="6410" max="6410" width="11.7109375" customWidth="1"/>
    <col min="6411" max="6411" width="14" customWidth="1"/>
    <col min="6412" max="6412" width="16.28515625" customWidth="1"/>
    <col min="6413" max="6413" width="12.5703125" customWidth="1"/>
    <col min="6414" max="6414" width="13.28515625" customWidth="1"/>
    <col min="6415" max="6415" width="14.85546875" customWidth="1"/>
    <col min="6416" max="6416" width="18" customWidth="1"/>
    <col min="6417" max="6417" width="24" customWidth="1"/>
    <col min="6650" max="6650" width="7.42578125" customWidth="1"/>
    <col min="6651" max="6651" width="22.7109375" customWidth="1"/>
    <col min="6652" max="6652" width="14.140625" customWidth="1"/>
    <col min="6653" max="6653" width="13.140625" customWidth="1"/>
    <col min="6654" max="6654" width="8.140625" customWidth="1"/>
    <col min="6655" max="6655" width="10.85546875" customWidth="1"/>
    <col min="6656" max="6656" width="38.85546875" customWidth="1"/>
    <col min="6657" max="6657" width="25.5703125" customWidth="1"/>
    <col min="6661" max="6661" width="44.85546875" customWidth="1"/>
    <col min="6662" max="6663" width="14.140625" customWidth="1"/>
    <col min="6664" max="6664" width="13.85546875" customWidth="1"/>
    <col min="6665" max="6665" width="13.5703125" customWidth="1"/>
    <col min="6666" max="6666" width="11.7109375" customWidth="1"/>
    <col min="6667" max="6667" width="14" customWidth="1"/>
    <col min="6668" max="6668" width="16.28515625" customWidth="1"/>
    <col min="6669" max="6669" width="12.5703125" customWidth="1"/>
    <col min="6670" max="6670" width="13.28515625" customWidth="1"/>
    <col min="6671" max="6671" width="14.85546875" customWidth="1"/>
    <col min="6672" max="6672" width="18" customWidth="1"/>
    <col min="6673" max="6673" width="24" customWidth="1"/>
    <col min="6906" max="6906" width="7.42578125" customWidth="1"/>
    <col min="6907" max="6907" width="22.7109375" customWidth="1"/>
    <col min="6908" max="6908" width="14.140625" customWidth="1"/>
    <col min="6909" max="6909" width="13.140625" customWidth="1"/>
    <col min="6910" max="6910" width="8.140625" customWidth="1"/>
    <col min="6911" max="6911" width="10.85546875" customWidth="1"/>
    <col min="6912" max="6912" width="38.85546875" customWidth="1"/>
    <col min="6913" max="6913" width="25.5703125" customWidth="1"/>
    <col min="6917" max="6917" width="44.85546875" customWidth="1"/>
    <col min="6918" max="6919" width="14.140625" customWidth="1"/>
    <col min="6920" max="6920" width="13.85546875" customWidth="1"/>
    <col min="6921" max="6921" width="13.5703125" customWidth="1"/>
    <col min="6922" max="6922" width="11.7109375" customWidth="1"/>
    <col min="6923" max="6923" width="14" customWidth="1"/>
    <col min="6924" max="6924" width="16.28515625" customWidth="1"/>
    <col min="6925" max="6925" width="12.5703125" customWidth="1"/>
    <col min="6926" max="6926" width="13.28515625" customWidth="1"/>
    <col min="6927" max="6927" width="14.85546875" customWidth="1"/>
    <col min="6928" max="6928" width="18" customWidth="1"/>
    <col min="6929" max="6929" width="24" customWidth="1"/>
    <col min="7162" max="7162" width="7.42578125" customWidth="1"/>
    <col min="7163" max="7163" width="22.7109375" customWidth="1"/>
    <col min="7164" max="7164" width="14.140625" customWidth="1"/>
    <col min="7165" max="7165" width="13.140625" customWidth="1"/>
    <col min="7166" max="7166" width="8.140625" customWidth="1"/>
    <col min="7167" max="7167" width="10.85546875" customWidth="1"/>
    <col min="7168" max="7168" width="38.85546875" customWidth="1"/>
    <col min="7169" max="7169" width="25.5703125" customWidth="1"/>
    <col min="7173" max="7173" width="44.85546875" customWidth="1"/>
    <col min="7174" max="7175" width="14.140625" customWidth="1"/>
    <col min="7176" max="7176" width="13.85546875" customWidth="1"/>
    <col min="7177" max="7177" width="13.5703125" customWidth="1"/>
    <col min="7178" max="7178" width="11.7109375" customWidth="1"/>
    <col min="7179" max="7179" width="14" customWidth="1"/>
    <col min="7180" max="7180" width="16.28515625" customWidth="1"/>
    <col min="7181" max="7181" width="12.5703125" customWidth="1"/>
    <col min="7182" max="7182" width="13.28515625" customWidth="1"/>
    <col min="7183" max="7183" width="14.85546875" customWidth="1"/>
    <col min="7184" max="7184" width="18" customWidth="1"/>
    <col min="7185" max="7185" width="24" customWidth="1"/>
    <col min="7418" max="7418" width="7.42578125" customWidth="1"/>
    <col min="7419" max="7419" width="22.7109375" customWidth="1"/>
    <col min="7420" max="7420" width="14.140625" customWidth="1"/>
    <col min="7421" max="7421" width="13.140625" customWidth="1"/>
    <col min="7422" max="7422" width="8.140625" customWidth="1"/>
    <col min="7423" max="7423" width="10.85546875" customWidth="1"/>
    <col min="7424" max="7424" width="38.85546875" customWidth="1"/>
    <col min="7425" max="7425" width="25.5703125" customWidth="1"/>
    <col min="7429" max="7429" width="44.85546875" customWidth="1"/>
    <col min="7430" max="7431" width="14.140625" customWidth="1"/>
    <col min="7432" max="7432" width="13.85546875" customWidth="1"/>
    <col min="7433" max="7433" width="13.5703125" customWidth="1"/>
    <col min="7434" max="7434" width="11.7109375" customWidth="1"/>
    <col min="7435" max="7435" width="14" customWidth="1"/>
    <col min="7436" max="7436" width="16.28515625" customWidth="1"/>
    <col min="7437" max="7437" width="12.5703125" customWidth="1"/>
    <col min="7438" max="7438" width="13.28515625" customWidth="1"/>
    <col min="7439" max="7439" width="14.85546875" customWidth="1"/>
    <col min="7440" max="7440" width="18" customWidth="1"/>
    <col min="7441" max="7441" width="24" customWidth="1"/>
    <col min="7674" max="7674" width="7.42578125" customWidth="1"/>
    <col min="7675" max="7675" width="22.7109375" customWidth="1"/>
    <col min="7676" max="7676" width="14.140625" customWidth="1"/>
    <col min="7677" max="7677" width="13.140625" customWidth="1"/>
    <col min="7678" max="7678" width="8.140625" customWidth="1"/>
    <col min="7679" max="7679" width="10.85546875" customWidth="1"/>
    <col min="7680" max="7680" width="38.85546875" customWidth="1"/>
    <col min="7681" max="7681" width="25.5703125" customWidth="1"/>
    <col min="7685" max="7685" width="44.85546875" customWidth="1"/>
    <col min="7686" max="7687" width="14.140625" customWidth="1"/>
    <col min="7688" max="7688" width="13.85546875" customWidth="1"/>
    <col min="7689" max="7689" width="13.5703125" customWidth="1"/>
    <col min="7690" max="7690" width="11.7109375" customWidth="1"/>
    <col min="7691" max="7691" width="14" customWidth="1"/>
    <col min="7692" max="7692" width="16.28515625" customWidth="1"/>
    <col min="7693" max="7693" width="12.5703125" customWidth="1"/>
    <col min="7694" max="7694" width="13.28515625" customWidth="1"/>
    <col min="7695" max="7695" width="14.85546875" customWidth="1"/>
    <col min="7696" max="7696" width="18" customWidth="1"/>
    <col min="7697" max="7697" width="24" customWidth="1"/>
    <col min="7930" max="7930" width="7.42578125" customWidth="1"/>
    <col min="7931" max="7931" width="22.7109375" customWidth="1"/>
    <col min="7932" max="7932" width="14.140625" customWidth="1"/>
    <col min="7933" max="7933" width="13.140625" customWidth="1"/>
    <col min="7934" max="7934" width="8.140625" customWidth="1"/>
    <col min="7935" max="7935" width="10.85546875" customWidth="1"/>
    <col min="7936" max="7936" width="38.85546875" customWidth="1"/>
    <col min="7937" max="7937" width="25.5703125" customWidth="1"/>
    <col min="7941" max="7941" width="44.85546875" customWidth="1"/>
    <col min="7942" max="7943" width="14.140625" customWidth="1"/>
    <col min="7944" max="7944" width="13.85546875" customWidth="1"/>
    <col min="7945" max="7945" width="13.5703125" customWidth="1"/>
    <col min="7946" max="7946" width="11.7109375" customWidth="1"/>
    <col min="7947" max="7947" width="14" customWidth="1"/>
    <col min="7948" max="7948" width="16.28515625" customWidth="1"/>
    <col min="7949" max="7949" width="12.5703125" customWidth="1"/>
    <col min="7950" max="7950" width="13.28515625" customWidth="1"/>
    <col min="7951" max="7951" width="14.85546875" customWidth="1"/>
    <col min="7952" max="7952" width="18" customWidth="1"/>
    <col min="7953" max="7953" width="24" customWidth="1"/>
    <col min="8186" max="8186" width="7.42578125" customWidth="1"/>
    <col min="8187" max="8187" width="22.7109375" customWidth="1"/>
    <col min="8188" max="8188" width="14.140625" customWidth="1"/>
    <col min="8189" max="8189" width="13.140625" customWidth="1"/>
    <col min="8190" max="8190" width="8.140625" customWidth="1"/>
    <col min="8191" max="8191" width="10.85546875" customWidth="1"/>
    <col min="8192" max="8192" width="38.85546875" customWidth="1"/>
    <col min="8193" max="8193" width="25.5703125" customWidth="1"/>
    <col min="8197" max="8197" width="44.85546875" customWidth="1"/>
    <col min="8198" max="8199" width="14.140625" customWidth="1"/>
    <col min="8200" max="8200" width="13.85546875" customWidth="1"/>
    <col min="8201" max="8201" width="13.5703125" customWidth="1"/>
    <col min="8202" max="8202" width="11.7109375" customWidth="1"/>
    <col min="8203" max="8203" width="14" customWidth="1"/>
    <col min="8204" max="8204" width="16.28515625" customWidth="1"/>
    <col min="8205" max="8205" width="12.5703125" customWidth="1"/>
    <col min="8206" max="8206" width="13.28515625" customWidth="1"/>
    <col min="8207" max="8207" width="14.85546875" customWidth="1"/>
    <col min="8208" max="8208" width="18" customWidth="1"/>
    <col min="8209" max="8209" width="24" customWidth="1"/>
    <col min="8442" max="8442" width="7.42578125" customWidth="1"/>
    <col min="8443" max="8443" width="22.7109375" customWidth="1"/>
    <col min="8444" max="8444" width="14.140625" customWidth="1"/>
    <col min="8445" max="8445" width="13.140625" customWidth="1"/>
    <col min="8446" max="8446" width="8.140625" customWidth="1"/>
    <col min="8447" max="8447" width="10.85546875" customWidth="1"/>
    <col min="8448" max="8448" width="38.85546875" customWidth="1"/>
    <col min="8449" max="8449" width="25.5703125" customWidth="1"/>
    <col min="8453" max="8453" width="44.85546875" customWidth="1"/>
    <col min="8454" max="8455" width="14.140625" customWidth="1"/>
    <col min="8456" max="8456" width="13.85546875" customWidth="1"/>
    <col min="8457" max="8457" width="13.5703125" customWidth="1"/>
    <col min="8458" max="8458" width="11.7109375" customWidth="1"/>
    <col min="8459" max="8459" width="14" customWidth="1"/>
    <col min="8460" max="8460" width="16.28515625" customWidth="1"/>
    <col min="8461" max="8461" width="12.5703125" customWidth="1"/>
    <col min="8462" max="8462" width="13.28515625" customWidth="1"/>
    <col min="8463" max="8463" width="14.85546875" customWidth="1"/>
    <col min="8464" max="8464" width="18" customWidth="1"/>
    <col min="8465" max="8465" width="24" customWidth="1"/>
    <col min="8698" max="8698" width="7.42578125" customWidth="1"/>
    <col min="8699" max="8699" width="22.7109375" customWidth="1"/>
    <col min="8700" max="8700" width="14.140625" customWidth="1"/>
    <col min="8701" max="8701" width="13.140625" customWidth="1"/>
    <col min="8702" max="8702" width="8.140625" customWidth="1"/>
    <col min="8703" max="8703" width="10.85546875" customWidth="1"/>
    <col min="8704" max="8704" width="38.85546875" customWidth="1"/>
    <col min="8705" max="8705" width="25.5703125" customWidth="1"/>
    <col min="8709" max="8709" width="44.85546875" customWidth="1"/>
    <col min="8710" max="8711" width="14.140625" customWidth="1"/>
    <col min="8712" max="8712" width="13.85546875" customWidth="1"/>
    <col min="8713" max="8713" width="13.5703125" customWidth="1"/>
    <col min="8714" max="8714" width="11.7109375" customWidth="1"/>
    <col min="8715" max="8715" width="14" customWidth="1"/>
    <col min="8716" max="8716" width="16.28515625" customWidth="1"/>
    <col min="8717" max="8717" width="12.5703125" customWidth="1"/>
    <col min="8718" max="8718" width="13.28515625" customWidth="1"/>
    <col min="8719" max="8719" width="14.85546875" customWidth="1"/>
    <col min="8720" max="8720" width="18" customWidth="1"/>
    <col min="8721" max="8721" width="24" customWidth="1"/>
    <col min="8954" max="8954" width="7.42578125" customWidth="1"/>
    <col min="8955" max="8955" width="22.7109375" customWidth="1"/>
    <col min="8956" max="8956" width="14.140625" customWidth="1"/>
    <col min="8957" max="8957" width="13.140625" customWidth="1"/>
    <col min="8958" max="8958" width="8.140625" customWidth="1"/>
    <col min="8959" max="8959" width="10.85546875" customWidth="1"/>
    <col min="8960" max="8960" width="38.85546875" customWidth="1"/>
    <col min="8961" max="8961" width="25.5703125" customWidth="1"/>
    <col min="8965" max="8965" width="44.85546875" customWidth="1"/>
    <col min="8966" max="8967" width="14.140625" customWidth="1"/>
    <col min="8968" max="8968" width="13.85546875" customWidth="1"/>
    <col min="8969" max="8969" width="13.5703125" customWidth="1"/>
    <col min="8970" max="8970" width="11.7109375" customWidth="1"/>
    <col min="8971" max="8971" width="14" customWidth="1"/>
    <col min="8972" max="8972" width="16.28515625" customWidth="1"/>
    <col min="8973" max="8973" width="12.5703125" customWidth="1"/>
    <col min="8974" max="8974" width="13.28515625" customWidth="1"/>
    <col min="8975" max="8975" width="14.85546875" customWidth="1"/>
    <col min="8976" max="8976" width="18" customWidth="1"/>
    <col min="8977" max="8977" width="24" customWidth="1"/>
    <col min="9210" max="9210" width="7.42578125" customWidth="1"/>
    <col min="9211" max="9211" width="22.7109375" customWidth="1"/>
    <col min="9212" max="9212" width="14.140625" customWidth="1"/>
    <col min="9213" max="9213" width="13.140625" customWidth="1"/>
    <col min="9214" max="9214" width="8.140625" customWidth="1"/>
    <col min="9215" max="9215" width="10.85546875" customWidth="1"/>
    <col min="9216" max="9216" width="38.85546875" customWidth="1"/>
    <col min="9217" max="9217" width="25.5703125" customWidth="1"/>
    <col min="9221" max="9221" width="44.85546875" customWidth="1"/>
    <col min="9222" max="9223" width="14.140625" customWidth="1"/>
    <col min="9224" max="9224" width="13.85546875" customWidth="1"/>
    <col min="9225" max="9225" width="13.5703125" customWidth="1"/>
    <col min="9226" max="9226" width="11.7109375" customWidth="1"/>
    <col min="9227" max="9227" width="14" customWidth="1"/>
    <col min="9228" max="9228" width="16.28515625" customWidth="1"/>
    <col min="9229" max="9229" width="12.5703125" customWidth="1"/>
    <col min="9230" max="9230" width="13.28515625" customWidth="1"/>
    <col min="9231" max="9231" width="14.85546875" customWidth="1"/>
    <col min="9232" max="9232" width="18" customWidth="1"/>
    <col min="9233" max="9233" width="24" customWidth="1"/>
    <col min="9466" max="9466" width="7.42578125" customWidth="1"/>
    <col min="9467" max="9467" width="22.7109375" customWidth="1"/>
    <col min="9468" max="9468" width="14.140625" customWidth="1"/>
    <col min="9469" max="9469" width="13.140625" customWidth="1"/>
    <col min="9470" max="9470" width="8.140625" customWidth="1"/>
    <col min="9471" max="9471" width="10.85546875" customWidth="1"/>
    <col min="9472" max="9472" width="38.85546875" customWidth="1"/>
    <col min="9473" max="9473" width="25.5703125" customWidth="1"/>
    <col min="9477" max="9477" width="44.85546875" customWidth="1"/>
    <col min="9478" max="9479" width="14.140625" customWidth="1"/>
    <col min="9480" max="9480" width="13.85546875" customWidth="1"/>
    <col min="9481" max="9481" width="13.5703125" customWidth="1"/>
    <col min="9482" max="9482" width="11.7109375" customWidth="1"/>
    <col min="9483" max="9483" width="14" customWidth="1"/>
    <col min="9484" max="9484" width="16.28515625" customWidth="1"/>
    <col min="9485" max="9485" width="12.5703125" customWidth="1"/>
    <col min="9486" max="9486" width="13.28515625" customWidth="1"/>
    <col min="9487" max="9487" width="14.85546875" customWidth="1"/>
    <col min="9488" max="9488" width="18" customWidth="1"/>
    <col min="9489" max="9489" width="24" customWidth="1"/>
    <col min="9722" max="9722" width="7.42578125" customWidth="1"/>
    <col min="9723" max="9723" width="22.7109375" customWidth="1"/>
    <col min="9724" max="9724" width="14.140625" customWidth="1"/>
    <col min="9725" max="9725" width="13.140625" customWidth="1"/>
    <col min="9726" max="9726" width="8.140625" customWidth="1"/>
    <col min="9727" max="9727" width="10.85546875" customWidth="1"/>
    <col min="9728" max="9728" width="38.85546875" customWidth="1"/>
    <col min="9729" max="9729" width="25.5703125" customWidth="1"/>
    <col min="9733" max="9733" width="44.85546875" customWidth="1"/>
    <col min="9734" max="9735" width="14.140625" customWidth="1"/>
    <col min="9736" max="9736" width="13.85546875" customWidth="1"/>
    <col min="9737" max="9737" width="13.5703125" customWidth="1"/>
    <col min="9738" max="9738" width="11.7109375" customWidth="1"/>
    <col min="9739" max="9739" width="14" customWidth="1"/>
    <col min="9740" max="9740" width="16.28515625" customWidth="1"/>
    <col min="9741" max="9741" width="12.5703125" customWidth="1"/>
    <col min="9742" max="9742" width="13.28515625" customWidth="1"/>
    <col min="9743" max="9743" width="14.85546875" customWidth="1"/>
    <col min="9744" max="9744" width="18" customWidth="1"/>
    <col min="9745" max="9745" width="24" customWidth="1"/>
    <col min="9978" max="9978" width="7.42578125" customWidth="1"/>
    <col min="9979" max="9979" width="22.7109375" customWidth="1"/>
    <col min="9980" max="9980" width="14.140625" customWidth="1"/>
    <col min="9981" max="9981" width="13.140625" customWidth="1"/>
    <col min="9982" max="9982" width="8.140625" customWidth="1"/>
    <col min="9983" max="9983" width="10.85546875" customWidth="1"/>
    <col min="9984" max="9984" width="38.85546875" customWidth="1"/>
    <col min="9985" max="9985" width="25.5703125" customWidth="1"/>
    <col min="9989" max="9989" width="44.85546875" customWidth="1"/>
    <col min="9990" max="9991" width="14.140625" customWidth="1"/>
    <col min="9992" max="9992" width="13.85546875" customWidth="1"/>
    <col min="9993" max="9993" width="13.5703125" customWidth="1"/>
    <col min="9994" max="9994" width="11.7109375" customWidth="1"/>
    <col min="9995" max="9995" width="14" customWidth="1"/>
    <col min="9996" max="9996" width="16.28515625" customWidth="1"/>
    <col min="9997" max="9997" width="12.5703125" customWidth="1"/>
    <col min="9998" max="9998" width="13.28515625" customWidth="1"/>
    <col min="9999" max="9999" width="14.85546875" customWidth="1"/>
    <col min="10000" max="10000" width="18" customWidth="1"/>
    <col min="10001" max="10001" width="24" customWidth="1"/>
    <col min="10234" max="10234" width="7.42578125" customWidth="1"/>
    <col min="10235" max="10235" width="22.7109375" customWidth="1"/>
    <col min="10236" max="10236" width="14.140625" customWidth="1"/>
    <col min="10237" max="10237" width="13.140625" customWidth="1"/>
    <col min="10238" max="10238" width="8.140625" customWidth="1"/>
    <col min="10239" max="10239" width="10.85546875" customWidth="1"/>
    <col min="10240" max="10240" width="38.85546875" customWidth="1"/>
    <col min="10241" max="10241" width="25.5703125" customWidth="1"/>
    <col min="10245" max="10245" width="44.85546875" customWidth="1"/>
    <col min="10246" max="10247" width="14.140625" customWidth="1"/>
    <col min="10248" max="10248" width="13.85546875" customWidth="1"/>
    <col min="10249" max="10249" width="13.5703125" customWidth="1"/>
    <col min="10250" max="10250" width="11.7109375" customWidth="1"/>
    <col min="10251" max="10251" width="14" customWidth="1"/>
    <col min="10252" max="10252" width="16.28515625" customWidth="1"/>
    <col min="10253" max="10253" width="12.5703125" customWidth="1"/>
    <col min="10254" max="10254" width="13.28515625" customWidth="1"/>
    <col min="10255" max="10255" width="14.85546875" customWidth="1"/>
    <col min="10256" max="10256" width="18" customWidth="1"/>
    <col min="10257" max="10257" width="24" customWidth="1"/>
    <col min="10490" max="10490" width="7.42578125" customWidth="1"/>
    <col min="10491" max="10491" width="22.7109375" customWidth="1"/>
    <col min="10492" max="10492" width="14.140625" customWidth="1"/>
    <col min="10493" max="10493" width="13.140625" customWidth="1"/>
    <col min="10494" max="10494" width="8.140625" customWidth="1"/>
    <col min="10495" max="10495" width="10.85546875" customWidth="1"/>
    <col min="10496" max="10496" width="38.85546875" customWidth="1"/>
    <col min="10497" max="10497" width="25.5703125" customWidth="1"/>
    <col min="10501" max="10501" width="44.85546875" customWidth="1"/>
    <col min="10502" max="10503" width="14.140625" customWidth="1"/>
    <col min="10504" max="10504" width="13.85546875" customWidth="1"/>
    <col min="10505" max="10505" width="13.5703125" customWidth="1"/>
    <col min="10506" max="10506" width="11.7109375" customWidth="1"/>
    <col min="10507" max="10507" width="14" customWidth="1"/>
    <col min="10508" max="10508" width="16.28515625" customWidth="1"/>
    <col min="10509" max="10509" width="12.5703125" customWidth="1"/>
    <col min="10510" max="10510" width="13.28515625" customWidth="1"/>
    <col min="10511" max="10511" width="14.85546875" customWidth="1"/>
    <col min="10512" max="10512" width="18" customWidth="1"/>
    <col min="10513" max="10513" width="24" customWidth="1"/>
    <col min="10746" max="10746" width="7.42578125" customWidth="1"/>
    <col min="10747" max="10747" width="22.7109375" customWidth="1"/>
    <col min="10748" max="10748" width="14.140625" customWidth="1"/>
    <col min="10749" max="10749" width="13.140625" customWidth="1"/>
    <col min="10750" max="10750" width="8.140625" customWidth="1"/>
    <col min="10751" max="10751" width="10.85546875" customWidth="1"/>
    <col min="10752" max="10752" width="38.85546875" customWidth="1"/>
    <col min="10753" max="10753" width="25.5703125" customWidth="1"/>
    <col min="10757" max="10757" width="44.85546875" customWidth="1"/>
    <col min="10758" max="10759" width="14.140625" customWidth="1"/>
    <col min="10760" max="10760" width="13.85546875" customWidth="1"/>
    <col min="10761" max="10761" width="13.5703125" customWidth="1"/>
    <col min="10762" max="10762" width="11.7109375" customWidth="1"/>
    <col min="10763" max="10763" width="14" customWidth="1"/>
    <col min="10764" max="10764" width="16.28515625" customWidth="1"/>
    <col min="10765" max="10765" width="12.5703125" customWidth="1"/>
    <col min="10766" max="10766" width="13.28515625" customWidth="1"/>
    <col min="10767" max="10767" width="14.85546875" customWidth="1"/>
    <col min="10768" max="10768" width="18" customWidth="1"/>
    <col min="10769" max="10769" width="24" customWidth="1"/>
    <col min="11002" max="11002" width="7.42578125" customWidth="1"/>
    <col min="11003" max="11003" width="22.7109375" customWidth="1"/>
    <col min="11004" max="11004" width="14.140625" customWidth="1"/>
    <col min="11005" max="11005" width="13.140625" customWidth="1"/>
    <col min="11006" max="11006" width="8.140625" customWidth="1"/>
    <col min="11007" max="11007" width="10.85546875" customWidth="1"/>
    <col min="11008" max="11008" width="38.85546875" customWidth="1"/>
    <col min="11009" max="11009" width="25.5703125" customWidth="1"/>
    <col min="11013" max="11013" width="44.85546875" customWidth="1"/>
    <col min="11014" max="11015" width="14.140625" customWidth="1"/>
    <col min="11016" max="11016" width="13.85546875" customWidth="1"/>
    <col min="11017" max="11017" width="13.5703125" customWidth="1"/>
    <col min="11018" max="11018" width="11.7109375" customWidth="1"/>
    <col min="11019" max="11019" width="14" customWidth="1"/>
    <col min="11020" max="11020" width="16.28515625" customWidth="1"/>
    <col min="11021" max="11021" width="12.5703125" customWidth="1"/>
    <col min="11022" max="11022" width="13.28515625" customWidth="1"/>
    <col min="11023" max="11023" width="14.85546875" customWidth="1"/>
    <col min="11024" max="11024" width="18" customWidth="1"/>
    <col min="11025" max="11025" width="24" customWidth="1"/>
    <col min="11258" max="11258" width="7.42578125" customWidth="1"/>
    <col min="11259" max="11259" width="22.7109375" customWidth="1"/>
    <col min="11260" max="11260" width="14.140625" customWidth="1"/>
    <col min="11261" max="11261" width="13.140625" customWidth="1"/>
    <col min="11262" max="11262" width="8.140625" customWidth="1"/>
    <col min="11263" max="11263" width="10.85546875" customWidth="1"/>
    <col min="11264" max="11264" width="38.85546875" customWidth="1"/>
    <col min="11265" max="11265" width="25.5703125" customWidth="1"/>
    <col min="11269" max="11269" width="44.85546875" customWidth="1"/>
    <col min="11270" max="11271" width="14.140625" customWidth="1"/>
    <col min="11272" max="11272" width="13.85546875" customWidth="1"/>
    <col min="11273" max="11273" width="13.5703125" customWidth="1"/>
    <col min="11274" max="11274" width="11.7109375" customWidth="1"/>
    <col min="11275" max="11275" width="14" customWidth="1"/>
    <col min="11276" max="11276" width="16.28515625" customWidth="1"/>
    <col min="11277" max="11277" width="12.5703125" customWidth="1"/>
    <col min="11278" max="11278" width="13.28515625" customWidth="1"/>
    <col min="11279" max="11279" width="14.85546875" customWidth="1"/>
    <col min="11280" max="11280" width="18" customWidth="1"/>
    <col min="11281" max="11281" width="24" customWidth="1"/>
    <col min="11514" max="11514" width="7.42578125" customWidth="1"/>
    <col min="11515" max="11515" width="22.7109375" customWidth="1"/>
    <col min="11516" max="11516" width="14.140625" customWidth="1"/>
    <col min="11517" max="11517" width="13.140625" customWidth="1"/>
    <col min="11518" max="11518" width="8.140625" customWidth="1"/>
    <col min="11519" max="11519" width="10.85546875" customWidth="1"/>
    <col min="11520" max="11520" width="38.85546875" customWidth="1"/>
    <col min="11521" max="11521" width="25.5703125" customWidth="1"/>
    <col min="11525" max="11525" width="44.85546875" customWidth="1"/>
    <col min="11526" max="11527" width="14.140625" customWidth="1"/>
    <col min="11528" max="11528" width="13.85546875" customWidth="1"/>
    <col min="11529" max="11529" width="13.5703125" customWidth="1"/>
    <col min="11530" max="11530" width="11.7109375" customWidth="1"/>
    <col min="11531" max="11531" width="14" customWidth="1"/>
    <col min="11532" max="11532" width="16.28515625" customWidth="1"/>
    <col min="11533" max="11533" width="12.5703125" customWidth="1"/>
    <col min="11534" max="11534" width="13.28515625" customWidth="1"/>
    <col min="11535" max="11535" width="14.85546875" customWidth="1"/>
    <col min="11536" max="11536" width="18" customWidth="1"/>
    <col min="11537" max="11537" width="24" customWidth="1"/>
    <col min="11770" max="11770" width="7.42578125" customWidth="1"/>
    <col min="11771" max="11771" width="22.7109375" customWidth="1"/>
    <col min="11772" max="11772" width="14.140625" customWidth="1"/>
    <col min="11773" max="11773" width="13.140625" customWidth="1"/>
    <col min="11774" max="11774" width="8.140625" customWidth="1"/>
    <col min="11775" max="11775" width="10.85546875" customWidth="1"/>
    <col min="11776" max="11776" width="38.85546875" customWidth="1"/>
    <col min="11777" max="11777" width="25.5703125" customWidth="1"/>
    <col min="11781" max="11781" width="44.85546875" customWidth="1"/>
    <col min="11782" max="11783" width="14.140625" customWidth="1"/>
    <col min="11784" max="11784" width="13.85546875" customWidth="1"/>
    <col min="11785" max="11785" width="13.5703125" customWidth="1"/>
    <col min="11786" max="11786" width="11.7109375" customWidth="1"/>
    <col min="11787" max="11787" width="14" customWidth="1"/>
    <col min="11788" max="11788" width="16.28515625" customWidth="1"/>
    <col min="11789" max="11789" width="12.5703125" customWidth="1"/>
    <col min="11790" max="11790" width="13.28515625" customWidth="1"/>
    <col min="11791" max="11791" width="14.85546875" customWidth="1"/>
    <col min="11792" max="11792" width="18" customWidth="1"/>
    <col min="11793" max="11793" width="24" customWidth="1"/>
    <col min="12026" max="12026" width="7.42578125" customWidth="1"/>
    <col min="12027" max="12027" width="22.7109375" customWidth="1"/>
    <col min="12028" max="12028" width="14.140625" customWidth="1"/>
    <col min="12029" max="12029" width="13.140625" customWidth="1"/>
    <col min="12030" max="12030" width="8.140625" customWidth="1"/>
    <col min="12031" max="12031" width="10.85546875" customWidth="1"/>
    <col min="12032" max="12032" width="38.85546875" customWidth="1"/>
    <col min="12033" max="12033" width="25.5703125" customWidth="1"/>
    <col min="12037" max="12037" width="44.85546875" customWidth="1"/>
    <col min="12038" max="12039" width="14.140625" customWidth="1"/>
    <col min="12040" max="12040" width="13.85546875" customWidth="1"/>
    <col min="12041" max="12041" width="13.5703125" customWidth="1"/>
    <col min="12042" max="12042" width="11.7109375" customWidth="1"/>
    <col min="12043" max="12043" width="14" customWidth="1"/>
    <col min="12044" max="12044" width="16.28515625" customWidth="1"/>
    <col min="12045" max="12045" width="12.5703125" customWidth="1"/>
    <col min="12046" max="12046" width="13.28515625" customWidth="1"/>
    <col min="12047" max="12047" width="14.85546875" customWidth="1"/>
    <col min="12048" max="12048" width="18" customWidth="1"/>
    <col min="12049" max="12049" width="24" customWidth="1"/>
    <col min="12282" max="12282" width="7.42578125" customWidth="1"/>
    <col min="12283" max="12283" width="22.7109375" customWidth="1"/>
    <col min="12284" max="12284" width="14.140625" customWidth="1"/>
    <col min="12285" max="12285" width="13.140625" customWidth="1"/>
    <col min="12286" max="12286" width="8.140625" customWidth="1"/>
    <col min="12287" max="12287" width="10.85546875" customWidth="1"/>
    <col min="12288" max="12288" width="38.85546875" customWidth="1"/>
    <col min="12289" max="12289" width="25.5703125" customWidth="1"/>
    <col min="12293" max="12293" width="44.85546875" customWidth="1"/>
    <col min="12294" max="12295" width="14.140625" customWidth="1"/>
    <col min="12296" max="12296" width="13.85546875" customWidth="1"/>
    <col min="12297" max="12297" width="13.5703125" customWidth="1"/>
    <col min="12298" max="12298" width="11.7109375" customWidth="1"/>
    <col min="12299" max="12299" width="14" customWidth="1"/>
    <col min="12300" max="12300" width="16.28515625" customWidth="1"/>
    <col min="12301" max="12301" width="12.5703125" customWidth="1"/>
    <col min="12302" max="12302" width="13.28515625" customWidth="1"/>
    <col min="12303" max="12303" width="14.85546875" customWidth="1"/>
    <col min="12304" max="12304" width="18" customWidth="1"/>
    <col min="12305" max="12305" width="24" customWidth="1"/>
    <col min="12538" max="12538" width="7.42578125" customWidth="1"/>
    <col min="12539" max="12539" width="22.7109375" customWidth="1"/>
    <col min="12540" max="12540" width="14.140625" customWidth="1"/>
    <col min="12541" max="12541" width="13.140625" customWidth="1"/>
    <col min="12542" max="12542" width="8.140625" customWidth="1"/>
    <col min="12543" max="12543" width="10.85546875" customWidth="1"/>
    <col min="12544" max="12544" width="38.85546875" customWidth="1"/>
    <col min="12545" max="12545" width="25.5703125" customWidth="1"/>
    <col min="12549" max="12549" width="44.85546875" customWidth="1"/>
    <col min="12550" max="12551" width="14.140625" customWidth="1"/>
    <col min="12552" max="12552" width="13.85546875" customWidth="1"/>
    <col min="12553" max="12553" width="13.5703125" customWidth="1"/>
    <col min="12554" max="12554" width="11.7109375" customWidth="1"/>
    <col min="12555" max="12555" width="14" customWidth="1"/>
    <col min="12556" max="12556" width="16.28515625" customWidth="1"/>
    <col min="12557" max="12557" width="12.5703125" customWidth="1"/>
    <col min="12558" max="12558" width="13.28515625" customWidth="1"/>
    <col min="12559" max="12559" width="14.85546875" customWidth="1"/>
    <col min="12560" max="12560" width="18" customWidth="1"/>
    <col min="12561" max="12561" width="24" customWidth="1"/>
    <col min="12794" max="12794" width="7.42578125" customWidth="1"/>
    <col min="12795" max="12795" width="22.7109375" customWidth="1"/>
    <col min="12796" max="12796" width="14.140625" customWidth="1"/>
    <col min="12797" max="12797" width="13.140625" customWidth="1"/>
    <col min="12798" max="12798" width="8.140625" customWidth="1"/>
    <col min="12799" max="12799" width="10.85546875" customWidth="1"/>
    <col min="12800" max="12800" width="38.85546875" customWidth="1"/>
    <col min="12801" max="12801" width="25.5703125" customWidth="1"/>
    <col min="12805" max="12805" width="44.85546875" customWidth="1"/>
    <col min="12806" max="12807" width="14.140625" customWidth="1"/>
    <col min="12808" max="12808" width="13.85546875" customWidth="1"/>
    <col min="12809" max="12809" width="13.5703125" customWidth="1"/>
    <col min="12810" max="12810" width="11.7109375" customWidth="1"/>
    <col min="12811" max="12811" width="14" customWidth="1"/>
    <col min="12812" max="12812" width="16.28515625" customWidth="1"/>
    <col min="12813" max="12813" width="12.5703125" customWidth="1"/>
    <col min="12814" max="12814" width="13.28515625" customWidth="1"/>
    <col min="12815" max="12815" width="14.85546875" customWidth="1"/>
    <col min="12816" max="12816" width="18" customWidth="1"/>
    <col min="12817" max="12817" width="24" customWidth="1"/>
    <col min="13050" max="13050" width="7.42578125" customWidth="1"/>
    <col min="13051" max="13051" width="22.7109375" customWidth="1"/>
    <col min="13052" max="13052" width="14.140625" customWidth="1"/>
    <col min="13053" max="13053" width="13.140625" customWidth="1"/>
    <col min="13054" max="13054" width="8.140625" customWidth="1"/>
    <col min="13055" max="13055" width="10.85546875" customWidth="1"/>
    <col min="13056" max="13056" width="38.85546875" customWidth="1"/>
    <col min="13057" max="13057" width="25.5703125" customWidth="1"/>
    <col min="13061" max="13061" width="44.85546875" customWidth="1"/>
    <col min="13062" max="13063" width="14.140625" customWidth="1"/>
    <col min="13064" max="13064" width="13.85546875" customWidth="1"/>
    <col min="13065" max="13065" width="13.5703125" customWidth="1"/>
    <col min="13066" max="13066" width="11.7109375" customWidth="1"/>
    <col min="13067" max="13067" width="14" customWidth="1"/>
    <col min="13068" max="13068" width="16.28515625" customWidth="1"/>
    <col min="13069" max="13069" width="12.5703125" customWidth="1"/>
    <col min="13070" max="13070" width="13.28515625" customWidth="1"/>
    <col min="13071" max="13071" width="14.85546875" customWidth="1"/>
    <col min="13072" max="13072" width="18" customWidth="1"/>
    <col min="13073" max="13073" width="24" customWidth="1"/>
    <col min="13306" max="13306" width="7.42578125" customWidth="1"/>
    <col min="13307" max="13307" width="22.7109375" customWidth="1"/>
    <col min="13308" max="13308" width="14.140625" customWidth="1"/>
    <col min="13309" max="13309" width="13.140625" customWidth="1"/>
    <col min="13310" max="13310" width="8.140625" customWidth="1"/>
    <col min="13311" max="13311" width="10.85546875" customWidth="1"/>
    <col min="13312" max="13312" width="38.85546875" customWidth="1"/>
    <col min="13313" max="13313" width="25.5703125" customWidth="1"/>
    <col min="13317" max="13317" width="44.85546875" customWidth="1"/>
    <col min="13318" max="13319" width="14.140625" customWidth="1"/>
    <col min="13320" max="13320" width="13.85546875" customWidth="1"/>
    <col min="13321" max="13321" width="13.5703125" customWidth="1"/>
    <col min="13322" max="13322" width="11.7109375" customWidth="1"/>
    <col min="13323" max="13323" width="14" customWidth="1"/>
    <col min="13324" max="13324" width="16.28515625" customWidth="1"/>
    <col min="13325" max="13325" width="12.5703125" customWidth="1"/>
    <col min="13326" max="13326" width="13.28515625" customWidth="1"/>
    <col min="13327" max="13327" width="14.85546875" customWidth="1"/>
    <col min="13328" max="13328" width="18" customWidth="1"/>
    <col min="13329" max="13329" width="24" customWidth="1"/>
    <col min="13562" max="13562" width="7.42578125" customWidth="1"/>
    <col min="13563" max="13563" width="22.7109375" customWidth="1"/>
    <col min="13564" max="13564" width="14.140625" customWidth="1"/>
    <col min="13565" max="13565" width="13.140625" customWidth="1"/>
    <col min="13566" max="13566" width="8.140625" customWidth="1"/>
    <col min="13567" max="13567" width="10.85546875" customWidth="1"/>
    <col min="13568" max="13568" width="38.85546875" customWidth="1"/>
    <col min="13569" max="13569" width="25.5703125" customWidth="1"/>
    <col min="13573" max="13573" width="44.85546875" customWidth="1"/>
    <col min="13574" max="13575" width="14.140625" customWidth="1"/>
    <col min="13576" max="13576" width="13.85546875" customWidth="1"/>
    <col min="13577" max="13577" width="13.5703125" customWidth="1"/>
    <col min="13578" max="13578" width="11.7109375" customWidth="1"/>
    <col min="13579" max="13579" width="14" customWidth="1"/>
    <col min="13580" max="13580" width="16.28515625" customWidth="1"/>
    <col min="13581" max="13581" width="12.5703125" customWidth="1"/>
    <col min="13582" max="13582" width="13.28515625" customWidth="1"/>
    <col min="13583" max="13583" width="14.85546875" customWidth="1"/>
    <col min="13584" max="13584" width="18" customWidth="1"/>
    <col min="13585" max="13585" width="24" customWidth="1"/>
    <col min="13818" max="13818" width="7.42578125" customWidth="1"/>
    <col min="13819" max="13819" width="22.7109375" customWidth="1"/>
    <col min="13820" max="13820" width="14.140625" customWidth="1"/>
    <col min="13821" max="13821" width="13.140625" customWidth="1"/>
    <col min="13822" max="13822" width="8.140625" customWidth="1"/>
    <col min="13823" max="13823" width="10.85546875" customWidth="1"/>
    <col min="13824" max="13824" width="38.85546875" customWidth="1"/>
    <col min="13825" max="13825" width="25.5703125" customWidth="1"/>
    <col min="13829" max="13829" width="44.85546875" customWidth="1"/>
    <col min="13830" max="13831" width="14.140625" customWidth="1"/>
    <col min="13832" max="13832" width="13.85546875" customWidth="1"/>
    <col min="13833" max="13833" width="13.5703125" customWidth="1"/>
    <col min="13834" max="13834" width="11.7109375" customWidth="1"/>
    <col min="13835" max="13835" width="14" customWidth="1"/>
    <col min="13836" max="13836" width="16.28515625" customWidth="1"/>
    <col min="13837" max="13837" width="12.5703125" customWidth="1"/>
    <col min="13838" max="13838" width="13.28515625" customWidth="1"/>
    <col min="13839" max="13839" width="14.85546875" customWidth="1"/>
    <col min="13840" max="13840" width="18" customWidth="1"/>
    <col min="13841" max="13841" width="24" customWidth="1"/>
    <col min="14074" max="14074" width="7.42578125" customWidth="1"/>
    <col min="14075" max="14075" width="22.7109375" customWidth="1"/>
    <col min="14076" max="14076" width="14.140625" customWidth="1"/>
    <col min="14077" max="14077" width="13.140625" customWidth="1"/>
    <col min="14078" max="14078" width="8.140625" customWidth="1"/>
    <col min="14079" max="14079" width="10.85546875" customWidth="1"/>
    <col min="14080" max="14080" width="38.85546875" customWidth="1"/>
    <col min="14081" max="14081" width="25.5703125" customWidth="1"/>
    <col min="14085" max="14085" width="44.85546875" customWidth="1"/>
    <col min="14086" max="14087" width="14.140625" customWidth="1"/>
    <col min="14088" max="14088" width="13.85546875" customWidth="1"/>
    <col min="14089" max="14089" width="13.5703125" customWidth="1"/>
    <col min="14090" max="14090" width="11.7109375" customWidth="1"/>
    <col min="14091" max="14091" width="14" customWidth="1"/>
    <col min="14092" max="14092" width="16.28515625" customWidth="1"/>
    <col min="14093" max="14093" width="12.5703125" customWidth="1"/>
    <col min="14094" max="14094" width="13.28515625" customWidth="1"/>
    <col min="14095" max="14095" width="14.85546875" customWidth="1"/>
    <col min="14096" max="14096" width="18" customWidth="1"/>
    <col min="14097" max="14097" width="24" customWidth="1"/>
    <col min="14330" max="14330" width="7.42578125" customWidth="1"/>
    <col min="14331" max="14331" width="22.7109375" customWidth="1"/>
    <col min="14332" max="14332" width="14.140625" customWidth="1"/>
    <col min="14333" max="14333" width="13.140625" customWidth="1"/>
    <col min="14334" max="14334" width="8.140625" customWidth="1"/>
    <col min="14335" max="14335" width="10.85546875" customWidth="1"/>
    <col min="14336" max="14336" width="38.85546875" customWidth="1"/>
    <col min="14337" max="14337" width="25.5703125" customWidth="1"/>
    <col min="14341" max="14341" width="44.85546875" customWidth="1"/>
    <col min="14342" max="14343" width="14.140625" customWidth="1"/>
    <col min="14344" max="14344" width="13.85546875" customWidth="1"/>
    <col min="14345" max="14345" width="13.5703125" customWidth="1"/>
    <col min="14346" max="14346" width="11.7109375" customWidth="1"/>
    <col min="14347" max="14347" width="14" customWidth="1"/>
    <col min="14348" max="14348" width="16.28515625" customWidth="1"/>
    <col min="14349" max="14349" width="12.5703125" customWidth="1"/>
    <col min="14350" max="14350" width="13.28515625" customWidth="1"/>
    <col min="14351" max="14351" width="14.85546875" customWidth="1"/>
    <col min="14352" max="14352" width="18" customWidth="1"/>
    <col min="14353" max="14353" width="24" customWidth="1"/>
    <col min="14586" max="14586" width="7.42578125" customWidth="1"/>
    <col min="14587" max="14587" width="22.7109375" customWidth="1"/>
    <col min="14588" max="14588" width="14.140625" customWidth="1"/>
    <col min="14589" max="14589" width="13.140625" customWidth="1"/>
    <col min="14590" max="14590" width="8.140625" customWidth="1"/>
    <col min="14591" max="14591" width="10.85546875" customWidth="1"/>
    <col min="14592" max="14592" width="38.85546875" customWidth="1"/>
    <col min="14593" max="14593" width="25.5703125" customWidth="1"/>
    <col min="14597" max="14597" width="44.85546875" customWidth="1"/>
    <col min="14598" max="14599" width="14.140625" customWidth="1"/>
    <col min="14600" max="14600" width="13.85546875" customWidth="1"/>
    <col min="14601" max="14601" width="13.5703125" customWidth="1"/>
    <col min="14602" max="14602" width="11.7109375" customWidth="1"/>
    <col min="14603" max="14603" width="14" customWidth="1"/>
    <col min="14604" max="14604" width="16.28515625" customWidth="1"/>
    <col min="14605" max="14605" width="12.5703125" customWidth="1"/>
    <col min="14606" max="14606" width="13.28515625" customWidth="1"/>
    <col min="14607" max="14607" width="14.85546875" customWidth="1"/>
    <col min="14608" max="14608" width="18" customWidth="1"/>
    <col min="14609" max="14609" width="24" customWidth="1"/>
    <col min="14842" max="14842" width="7.42578125" customWidth="1"/>
    <col min="14843" max="14843" width="22.7109375" customWidth="1"/>
    <col min="14844" max="14844" width="14.140625" customWidth="1"/>
    <col min="14845" max="14845" width="13.140625" customWidth="1"/>
    <col min="14846" max="14846" width="8.140625" customWidth="1"/>
    <col min="14847" max="14847" width="10.85546875" customWidth="1"/>
    <col min="14848" max="14848" width="38.85546875" customWidth="1"/>
    <col min="14849" max="14849" width="25.5703125" customWidth="1"/>
    <col min="14853" max="14853" width="44.85546875" customWidth="1"/>
    <col min="14854" max="14855" width="14.140625" customWidth="1"/>
    <col min="14856" max="14856" width="13.85546875" customWidth="1"/>
    <col min="14857" max="14857" width="13.5703125" customWidth="1"/>
    <col min="14858" max="14858" width="11.7109375" customWidth="1"/>
    <col min="14859" max="14859" width="14" customWidth="1"/>
    <col min="14860" max="14860" width="16.28515625" customWidth="1"/>
    <col min="14861" max="14861" width="12.5703125" customWidth="1"/>
    <col min="14862" max="14862" width="13.28515625" customWidth="1"/>
    <col min="14863" max="14863" width="14.85546875" customWidth="1"/>
    <col min="14864" max="14864" width="18" customWidth="1"/>
    <col min="14865" max="14865" width="24" customWidth="1"/>
    <col min="15098" max="15098" width="7.42578125" customWidth="1"/>
    <col min="15099" max="15099" width="22.7109375" customWidth="1"/>
    <col min="15100" max="15100" width="14.140625" customWidth="1"/>
    <col min="15101" max="15101" width="13.140625" customWidth="1"/>
    <col min="15102" max="15102" width="8.140625" customWidth="1"/>
    <col min="15103" max="15103" width="10.85546875" customWidth="1"/>
    <col min="15104" max="15104" width="38.85546875" customWidth="1"/>
    <col min="15105" max="15105" width="25.5703125" customWidth="1"/>
    <col min="15109" max="15109" width="44.85546875" customWidth="1"/>
    <col min="15110" max="15111" width="14.140625" customWidth="1"/>
    <col min="15112" max="15112" width="13.85546875" customWidth="1"/>
    <col min="15113" max="15113" width="13.5703125" customWidth="1"/>
    <col min="15114" max="15114" width="11.7109375" customWidth="1"/>
    <col min="15115" max="15115" width="14" customWidth="1"/>
    <col min="15116" max="15116" width="16.28515625" customWidth="1"/>
    <col min="15117" max="15117" width="12.5703125" customWidth="1"/>
    <col min="15118" max="15118" width="13.28515625" customWidth="1"/>
    <col min="15119" max="15119" width="14.85546875" customWidth="1"/>
    <col min="15120" max="15120" width="18" customWidth="1"/>
    <col min="15121" max="15121" width="24" customWidth="1"/>
    <col min="15354" max="15354" width="7.42578125" customWidth="1"/>
    <col min="15355" max="15355" width="22.7109375" customWidth="1"/>
    <col min="15356" max="15356" width="14.140625" customWidth="1"/>
    <col min="15357" max="15357" width="13.140625" customWidth="1"/>
    <col min="15358" max="15358" width="8.140625" customWidth="1"/>
    <col min="15359" max="15359" width="10.85546875" customWidth="1"/>
    <col min="15360" max="15360" width="38.85546875" customWidth="1"/>
    <col min="15361" max="15361" width="25.5703125" customWidth="1"/>
    <col min="15365" max="15365" width="44.85546875" customWidth="1"/>
    <col min="15366" max="15367" width="14.140625" customWidth="1"/>
    <col min="15368" max="15368" width="13.85546875" customWidth="1"/>
    <col min="15369" max="15369" width="13.5703125" customWidth="1"/>
    <col min="15370" max="15370" width="11.7109375" customWidth="1"/>
    <col min="15371" max="15371" width="14" customWidth="1"/>
    <col min="15372" max="15372" width="16.28515625" customWidth="1"/>
    <col min="15373" max="15373" width="12.5703125" customWidth="1"/>
    <col min="15374" max="15374" width="13.28515625" customWidth="1"/>
    <col min="15375" max="15375" width="14.85546875" customWidth="1"/>
    <col min="15376" max="15376" width="18" customWidth="1"/>
    <col min="15377" max="15377" width="24" customWidth="1"/>
    <col min="15610" max="15610" width="7.42578125" customWidth="1"/>
    <col min="15611" max="15611" width="22.7109375" customWidth="1"/>
    <col min="15612" max="15612" width="14.140625" customWidth="1"/>
    <col min="15613" max="15613" width="13.140625" customWidth="1"/>
    <col min="15614" max="15614" width="8.140625" customWidth="1"/>
    <col min="15615" max="15615" width="10.85546875" customWidth="1"/>
    <col min="15616" max="15616" width="38.85546875" customWidth="1"/>
    <col min="15617" max="15617" width="25.5703125" customWidth="1"/>
    <col min="15621" max="15621" width="44.85546875" customWidth="1"/>
    <col min="15622" max="15623" width="14.140625" customWidth="1"/>
    <col min="15624" max="15624" width="13.85546875" customWidth="1"/>
    <col min="15625" max="15625" width="13.5703125" customWidth="1"/>
    <col min="15626" max="15626" width="11.7109375" customWidth="1"/>
    <col min="15627" max="15627" width="14" customWidth="1"/>
    <col min="15628" max="15628" width="16.28515625" customWidth="1"/>
    <col min="15629" max="15629" width="12.5703125" customWidth="1"/>
    <col min="15630" max="15630" width="13.28515625" customWidth="1"/>
    <col min="15631" max="15631" width="14.85546875" customWidth="1"/>
    <col min="15632" max="15632" width="18" customWidth="1"/>
    <col min="15633" max="15633" width="24" customWidth="1"/>
    <col min="15866" max="15866" width="7.42578125" customWidth="1"/>
    <col min="15867" max="15867" width="22.7109375" customWidth="1"/>
    <col min="15868" max="15868" width="14.140625" customWidth="1"/>
    <col min="15869" max="15869" width="13.140625" customWidth="1"/>
    <col min="15870" max="15870" width="8.140625" customWidth="1"/>
    <col min="15871" max="15871" width="10.85546875" customWidth="1"/>
    <col min="15872" max="15872" width="38.85546875" customWidth="1"/>
    <col min="15873" max="15873" width="25.5703125" customWidth="1"/>
    <col min="15877" max="15877" width="44.85546875" customWidth="1"/>
    <col min="15878" max="15879" width="14.140625" customWidth="1"/>
    <col min="15880" max="15880" width="13.85546875" customWidth="1"/>
    <col min="15881" max="15881" width="13.5703125" customWidth="1"/>
    <col min="15882" max="15882" width="11.7109375" customWidth="1"/>
    <col min="15883" max="15883" width="14" customWidth="1"/>
    <col min="15884" max="15884" width="16.28515625" customWidth="1"/>
    <col min="15885" max="15885" width="12.5703125" customWidth="1"/>
    <col min="15886" max="15886" width="13.28515625" customWidth="1"/>
    <col min="15887" max="15887" width="14.85546875" customWidth="1"/>
    <col min="15888" max="15888" width="18" customWidth="1"/>
    <col min="15889" max="15889" width="24" customWidth="1"/>
    <col min="16122" max="16122" width="7.42578125" customWidth="1"/>
    <col min="16123" max="16123" width="22.7109375" customWidth="1"/>
    <col min="16124" max="16124" width="14.140625" customWidth="1"/>
    <col min="16125" max="16125" width="13.140625" customWidth="1"/>
    <col min="16126" max="16126" width="8.140625" customWidth="1"/>
    <col min="16127" max="16127" width="10.85546875" customWidth="1"/>
    <col min="16128" max="16128" width="38.85546875" customWidth="1"/>
    <col min="16129" max="16129" width="25.5703125" customWidth="1"/>
    <col min="16133" max="16133" width="44.85546875" customWidth="1"/>
    <col min="16134" max="16135" width="14.140625" customWidth="1"/>
    <col min="16136" max="16136" width="13.85546875" customWidth="1"/>
    <col min="16137" max="16137" width="13.5703125" customWidth="1"/>
    <col min="16138" max="16138" width="11.7109375" customWidth="1"/>
    <col min="16139" max="16139" width="14" customWidth="1"/>
    <col min="16140" max="16140" width="16.28515625" customWidth="1"/>
    <col min="16141" max="16141" width="12.5703125" customWidth="1"/>
    <col min="16142" max="16142" width="13.28515625" customWidth="1"/>
    <col min="16143" max="16143" width="14.85546875" customWidth="1"/>
    <col min="16144" max="16144" width="18" customWidth="1"/>
    <col min="16145" max="16145" width="24" customWidth="1"/>
  </cols>
  <sheetData>
    <row r="1" spans="2:35" ht="24.75" customHeight="1" x14ac:dyDescent="0.25"/>
    <row r="2" spans="2:35" s="7" customFormat="1" ht="24.75" customHeight="1" thickBot="1" x14ac:dyDescent="0.3">
      <c r="B2" s="287" t="s">
        <v>704</v>
      </c>
      <c r="C2" s="287"/>
      <c r="D2" s="287"/>
      <c r="E2" s="287"/>
      <c r="F2" s="287"/>
      <c r="G2" s="287"/>
      <c r="H2" s="287"/>
      <c r="I2" s="287"/>
      <c r="J2" s="287"/>
      <c r="K2" s="287"/>
      <c r="L2" s="296"/>
      <c r="M2" s="296"/>
      <c r="N2" s="296"/>
      <c r="O2" s="296"/>
      <c r="P2" s="296"/>
      <c r="Q2" s="296"/>
      <c r="R2" s="296"/>
      <c r="S2" s="8"/>
      <c r="T2" s="8"/>
      <c r="U2" s="8"/>
      <c r="V2" s="8"/>
      <c r="W2" s="8"/>
      <c r="X2" s="8"/>
      <c r="Y2" s="8"/>
      <c r="Z2" s="8"/>
      <c r="AA2" s="8"/>
      <c r="AB2" s="8"/>
      <c r="AC2" s="8"/>
      <c r="AD2" s="8"/>
      <c r="AE2" s="8"/>
      <c r="AF2" s="8"/>
      <c r="AG2" s="8"/>
      <c r="AH2" s="8"/>
      <c r="AI2" s="8"/>
    </row>
    <row r="3" spans="2:35" s="7" customFormat="1" ht="32.25" customHeight="1" thickBot="1" x14ac:dyDescent="0.3">
      <c r="B3" s="89"/>
      <c r="C3" s="89"/>
      <c r="D3" s="89"/>
      <c r="E3" s="262"/>
      <c r="F3" s="262"/>
      <c r="G3" s="262"/>
      <c r="H3" s="89"/>
      <c r="I3" s="89"/>
      <c r="J3" s="89"/>
      <c r="K3" s="150"/>
      <c r="L3" s="302" t="s">
        <v>310</v>
      </c>
      <c r="M3" s="303"/>
      <c r="N3" s="304"/>
      <c r="O3" s="139" t="s">
        <v>317</v>
      </c>
      <c r="P3" s="291" t="s">
        <v>318</v>
      </c>
      <c r="Q3" s="291"/>
      <c r="R3" s="292"/>
      <c r="S3" s="8"/>
      <c r="T3" s="8"/>
      <c r="U3" s="8"/>
      <c r="V3" s="8"/>
      <c r="W3" s="8"/>
      <c r="X3" s="8"/>
      <c r="Y3" s="8"/>
      <c r="Z3" s="8"/>
      <c r="AA3" s="8"/>
      <c r="AB3" s="8"/>
      <c r="AC3" s="8"/>
      <c r="AD3" s="8"/>
      <c r="AE3" s="8"/>
      <c r="AF3" s="8"/>
      <c r="AG3" s="8"/>
      <c r="AH3" s="8"/>
      <c r="AI3" s="8"/>
    </row>
    <row r="4" spans="2:35" ht="38.25" customHeight="1" thickBot="1" x14ac:dyDescent="0.3">
      <c r="B4" s="110" t="s">
        <v>0</v>
      </c>
      <c r="C4" s="217" t="s">
        <v>466</v>
      </c>
      <c r="D4" s="111" t="s">
        <v>1</v>
      </c>
      <c r="E4" s="264" t="s">
        <v>463</v>
      </c>
      <c r="F4" s="218" t="s">
        <v>465</v>
      </c>
      <c r="G4" s="215" t="s">
        <v>677</v>
      </c>
      <c r="H4" s="111" t="s">
        <v>2</v>
      </c>
      <c r="I4" s="300" t="s">
        <v>3</v>
      </c>
      <c r="J4" s="298"/>
      <c r="K4" s="301"/>
      <c r="L4" s="112" t="s">
        <v>311</v>
      </c>
      <c r="M4" s="113" t="s">
        <v>312</v>
      </c>
      <c r="N4" s="113" t="s">
        <v>313</v>
      </c>
      <c r="O4" s="114" t="s">
        <v>311</v>
      </c>
      <c r="P4" s="115" t="s">
        <v>4</v>
      </c>
      <c r="Q4" s="116" t="s">
        <v>5</v>
      </c>
      <c r="R4" s="117" t="s">
        <v>6</v>
      </c>
    </row>
    <row r="5" spans="2:35" s="17" customFormat="1" ht="89.25" customHeight="1" x14ac:dyDescent="0.2">
      <c r="B5" s="118">
        <v>1</v>
      </c>
      <c r="C5" s="119" t="s">
        <v>407</v>
      </c>
      <c r="D5" s="120" t="s">
        <v>62</v>
      </c>
      <c r="E5" s="224" t="s">
        <v>503</v>
      </c>
      <c r="F5" s="277" t="s">
        <v>706</v>
      </c>
      <c r="G5" s="120" t="str">
        <f>UPPER(F5)</f>
        <v>ACOMPANHAR AS ATUALIZAÇÕES EM TECNOLOGIA DA INFORMAÇÃO E COMUNICAÇÃO (TIC) FRENTE ÀS MUDANÇAS IMPORTANTES COMO O AVANÇO E A POPULARIZAÇÃO DA TECNOLOGIA. À MEDIDA QUE AS EMPRESAS SE TORNAM DIGITAIS, PROFISSIONAIS, CULTURAS E SERVIÇOS TAMBÉM DEVEM TORNAR-SE DIGITAIS, POR ISSO O TEMA ESCOLHIDO PARA A 12ª EDIÇÃO DO 4CIO SUL É PEOPLE FIRST.</v>
      </c>
      <c r="H5" s="120" t="s">
        <v>416</v>
      </c>
      <c r="I5" s="180">
        <v>43405</v>
      </c>
      <c r="J5" s="122">
        <v>23</v>
      </c>
      <c r="K5" s="123">
        <v>25</v>
      </c>
      <c r="L5" s="148">
        <v>0</v>
      </c>
      <c r="M5" s="148">
        <v>0</v>
      </c>
      <c r="N5" s="148">
        <v>0</v>
      </c>
      <c r="O5" s="130">
        <v>74.05</v>
      </c>
      <c r="P5" s="125">
        <v>0</v>
      </c>
      <c r="Q5" s="126">
        <v>0</v>
      </c>
      <c r="R5" s="127">
        <f t="shared" ref="R5:R23" si="0">L5+M5+N5+O5+P5+Q5</f>
        <v>74.05</v>
      </c>
      <c r="S5" s="16"/>
      <c r="T5" s="16"/>
      <c r="U5" s="16"/>
    </row>
    <row r="6" spans="2:35" s="17" customFormat="1" ht="24.75" customHeight="1" x14ac:dyDescent="0.2">
      <c r="B6" s="99">
        <v>2</v>
      </c>
      <c r="C6" s="57" t="s">
        <v>408</v>
      </c>
      <c r="D6" s="10" t="s">
        <v>81</v>
      </c>
      <c r="E6" s="216" t="s">
        <v>510</v>
      </c>
      <c r="F6" s="275" t="s">
        <v>707</v>
      </c>
      <c r="G6" s="9" t="str">
        <f>UPPER(F6)</f>
        <v>PARTICIPAÇÃO 2º ENCONTRO DAS SETORIAIS CONTÁBEIS</v>
      </c>
      <c r="H6" s="9" t="s">
        <v>9</v>
      </c>
      <c r="I6" s="18">
        <v>43405</v>
      </c>
      <c r="J6" s="10">
        <v>12</v>
      </c>
      <c r="K6" s="11">
        <v>13</v>
      </c>
      <c r="L6" s="58">
        <v>80</v>
      </c>
      <c r="M6" s="58">
        <v>130.38999999999999</v>
      </c>
      <c r="N6" s="58"/>
      <c r="O6" s="54">
        <f>68+57+50</f>
        <v>175</v>
      </c>
      <c r="P6" s="14">
        <f>511.98+820.39</f>
        <v>1332.37</v>
      </c>
      <c r="Q6" s="15">
        <f>350.75+14.3</f>
        <v>365.05</v>
      </c>
      <c r="R6" s="98">
        <f t="shared" si="0"/>
        <v>2082.81</v>
      </c>
      <c r="S6" s="16"/>
      <c r="T6" s="16"/>
      <c r="U6" s="16"/>
    </row>
    <row r="7" spans="2:35" s="17" customFormat="1" ht="23.25" customHeight="1" x14ac:dyDescent="0.2">
      <c r="B7" s="99">
        <v>3</v>
      </c>
      <c r="C7" s="57" t="s">
        <v>409</v>
      </c>
      <c r="D7" s="10" t="s">
        <v>417</v>
      </c>
      <c r="E7" s="9" t="s">
        <v>715</v>
      </c>
      <c r="F7" s="275" t="s">
        <v>707</v>
      </c>
      <c r="G7" s="9" t="str">
        <f t="shared" ref="G7:G23" si="1">UPPER(F7)</f>
        <v>PARTICIPAÇÃO 2º ENCONTRO DAS SETORIAIS CONTÁBEIS</v>
      </c>
      <c r="H7" s="9" t="s">
        <v>9</v>
      </c>
      <c r="I7" s="18">
        <v>43405</v>
      </c>
      <c r="J7" s="10">
        <v>12</v>
      </c>
      <c r="K7" s="11">
        <v>13</v>
      </c>
      <c r="L7" s="58">
        <v>11</v>
      </c>
      <c r="M7" s="58">
        <v>160.41999999999999</v>
      </c>
      <c r="N7" s="58"/>
      <c r="O7" s="54">
        <f>53+65</f>
        <v>118</v>
      </c>
      <c r="P7" s="14">
        <f>511.98+820.39</f>
        <v>1332.37</v>
      </c>
      <c r="Q7" s="15">
        <f>350.75+19.8</f>
        <v>370.55</v>
      </c>
      <c r="R7" s="98">
        <f t="shared" si="0"/>
        <v>1992.34</v>
      </c>
      <c r="S7" s="16"/>
      <c r="T7" s="16"/>
      <c r="U7" s="16"/>
    </row>
    <row r="8" spans="2:35" s="17" customFormat="1" ht="24.75" customHeight="1" x14ac:dyDescent="0.2">
      <c r="B8" s="99">
        <v>4</v>
      </c>
      <c r="C8" s="57" t="s">
        <v>410</v>
      </c>
      <c r="D8" s="10" t="s">
        <v>418</v>
      </c>
      <c r="E8" s="216" t="s">
        <v>716</v>
      </c>
      <c r="F8" s="275" t="s">
        <v>708</v>
      </c>
      <c r="G8" s="9" t="str">
        <f t="shared" si="1"/>
        <v>CAPACITAÇÃO  DO PROJETO LEAN NAS EMERGÊNCIAS</v>
      </c>
      <c r="H8" s="9" t="s">
        <v>53</v>
      </c>
      <c r="I8" s="18">
        <v>43405</v>
      </c>
      <c r="J8" s="10">
        <v>6</v>
      </c>
      <c r="K8" s="11">
        <v>8</v>
      </c>
      <c r="L8" s="58">
        <v>182.32</v>
      </c>
      <c r="M8" s="58">
        <v>160.94999999999999</v>
      </c>
      <c r="N8" s="58"/>
      <c r="O8" s="12">
        <v>0</v>
      </c>
      <c r="P8" s="14">
        <v>0</v>
      </c>
      <c r="Q8" s="15">
        <v>0</v>
      </c>
      <c r="R8" s="98">
        <f t="shared" si="0"/>
        <v>343.27</v>
      </c>
      <c r="S8" s="16"/>
      <c r="T8" s="16"/>
      <c r="U8" s="16"/>
    </row>
    <row r="9" spans="2:35" s="17" customFormat="1" ht="24.75" customHeight="1" x14ac:dyDescent="0.2">
      <c r="B9" s="99">
        <v>5</v>
      </c>
      <c r="C9" s="57" t="s">
        <v>411</v>
      </c>
      <c r="D9" s="10" t="s">
        <v>348</v>
      </c>
      <c r="E9" s="9" t="s">
        <v>717</v>
      </c>
      <c r="F9" s="275" t="s">
        <v>708</v>
      </c>
      <c r="G9" s="9" t="str">
        <f t="shared" si="1"/>
        <v>CAPACITAÇÃO  DO PROJETO LEAN NAS EMERGÊNCIAS</v>
      </c>
      <c r="H9" s="9" t="s">
        <v>53</v>
      </c>
      <c r="I9" s="18">
        <v>43405</v>
      </c>
      <c r="J9" s="10">
        <v>6</v>
      </c>
      <c r="K9" s="11">
        <v>8</v>
      </c>
      <c r="L9" s="58">
        <v>0</v>
      </c>
      <c r="M9" s="58">
        <v>80.040000000000006</v>
      </c>
      <c r="N9" s="58"/>
      <c r="O9" s="54">
        <f>26.24+109.7+104.9</f>
        <v>240.84</v>
      </c>
      <c r="P9" s="14">
        <v>0</v>
      </c>
      <c r="Q9" s="15">
        <v>0</v>
      </c>
      <c r="R9" s="98">
        <f t="shared" si="0"/>
        <v>320.88</v>
      </c>
      <c r="S9" s="16"/>
      <c r="T9" s="16"/>
      <c r="U9" s="16"/>
    </row>
    <row r="10" spans="2:35" s="17" customFormat="1" ht="26.25" customHeight="1" x14ac:dyDescent="0.2">
      <c r="B10" s="99">
        <v>6</v>
      </c>
      <c r="C10" s="57" t="s">
        <v>412</v>
      </c>
      <c r="D10" s="10" t="s">
        <v>350</v>
      </c>
      <c r="E10" s="216" t="s">
        <v>670</v>
      </c>
      <c r="F10" s="275" t="s">
        <v>709</v>
      </c>
      <c r="G10" s="9" t="str">
        <f t="shared" si="1"/>
        <v>PARTICIPAR DA CAPACITAÇÃO DO  PROJETO LEAN NAS EMERGÊNCIAS</v>
      </c>
      <c r="H10" s="9" t="s">
        <v>53</v>
      </c>
      <c r="I10" s="18">
        <v>43405</v>
      </c>
      <c r="J10" s="10">
        <v>6</v>
      </c>
      <c r="K10" s="11">
        <v>8</v>
      </c>
      <c r="L10" s="58">
        <v>0</v>
      </c>
      <c r="M10" s="58">
        <v>90.32</v>
      </c>
      <c r="N10" s="58"/>
      <c r="O10" s="54">
        <v>36</v>
      </c>
      <c r="P10" s="14">
        <v>0</v>
      </c>
      <c r="Q10" s="15">
        <v>0</v>
      </c>
      <c r="R10" s="98">
        <f t="shared" si="0"/>
        <v>126.32</v>
      </c>
      <c r="S10" s="16"/>
      <c r="T10" s="16"/>
      <c r="U10" s="16"/>
    </row>
    <row r="11" spans="2:35" s="17" customFormat="1" ht="15.75" customHeight="1" x14ac:dyDescent="0.2">
      <c r="B11" s="99">
        <v>7</v>
      </c>
      <c r="C11" s="56" t="s">
        <v>413</v>
      </c>
      <c r="D11" s="10" t="s">
        <v>17</v>
      </c>
      <c r="E11" s="9" t="s">
        <v>478</v>
      </c>
      <c r="F11" s="19" t="s">
        <v>637</v>
      </c>
      <c r="G11" s="9" t="str">
        <f t="shared" si="1"/>
        <v>REUNIÃO DO CONSELHO DIRETOR</v>
      </c>
      <c r="H11" s="9" t="s">
        <v>18</v>
      </c>
      <c r="I11" s="18">
        <v>43405</v>
      </c>
      <c r="J11" s="62">
        <v>19</v>
      </c>
      <c r="K11" s="152">
        <v>19</v>
      </c>
      <c r="L11" s="58"/>
      <c r="M11" s="58"/>
      <c r="N11" s="58"/>
      <c r="O11" s="12">
        <v>0</v>
      </c>
      <c r="P11" s="14">
        <f>1637+978</f>
        <v>2615</v>
      </c>
      <c r="Q11" s="15">
        <v>0</v>
      </c>
      <c r="R11" s="98">
        <f t="shared" si="0"/>
        <v>2615</v>
      </c>
      <c r="S11" s="16"/>
      <c r="T11" s="16"/>
      <c r="U11" s="16"/>
    </row>
    <row r="12" spans="2:35" s="17" customFormat="1" ht="12.75" customHeight="1" x14ac:dyDescent="0.2">
      <c r="B12" s="99">
        <v>8</v>
      </c>
      <c r="C12" s="56" t="s">
        <v>414</v>
      </c>
      <c r="D12" s="10" t="s">
        <v>256</v>
      </c>
      <c r="E12" s="9" t="s">
        <v>478</v>
      </c>
      <c r="F12" s="19" t="s">
        <v>637</v>
      </c>
      <c r="G12" s="9" t="str">
        <f t="shared" si="1"/>
        <v>REUNIÃO DO CONSELHO DIRETOR</v>
      </c>
      <c r="H12" s="9" t="s">
        <v>24</v>
      </c>
      <c r="I12" s="18">
        <v>43405</v>
      </c>
      <c r="J12" s="62">
        <v>19</v>
      </c>
      <c r="K12" s="152">
        <v>19</v>
      </c>
      <c r="L12" s="58"/>
      <c r="M12" s="58"/>
      <c r="N12" s="58"/>
      <c r="O12" s="12">
        <v>0</v>
      </c>
      <c r="P12" s="14">
        <f>1237.39+831.3</f>
        <v>2068.69</v>
      </c>
      <c r="Q12" s="15">
        <v>0</v>
      </c>
      <c r="R12" s="98">
        <f t="shared" si="0"/>
        <v>2068.69</v>
      </c>
      <c r="S12" s="16"/>
      <c r="T12" s="16"/>
      <c r="U12" s="16"/>
    </row>
    <row r="13" spans="2:35" s="17" customFormat="1" ht="12.75" customHeight="1" x14ac:dyDescent="0.2">
      <c r="B13" s="99">
        <v>9</v>
      </c>
      <c r="C13" s="56" t="s">
        <v>415</v>
      </c>
      <c r="D13" s="10" t="s">
        <v>393</v>
      </c>
      <c r="E13" s="9" t="s">
        <v>478</v>
      </c>
      <c r="F13" s="19" t="s">
        <v>637</v>
      </c>
      <c r="G13" s="9" t="str">
        <f t="shared" si="1"/>
        <v>REUNIÃO DO CONSELHO DIRETOR</v>
      </c>
      <c r="H13" s="9" t="s">
        <v>24</v>
      </c>
      <c r="I13" s="18">
        <v>43405</v>
      </c>
      <c r="J13" s="62">
        <v>19</v>
      </c>
      <c r="K13" s="152">
        <v>19</v>
      </c>
      <c r="L13" s="58"/>
      <c r="M13" s="58"/>
      <c r="N13" s="58"/>
      <c r="O13" s="12">
        <v>0</v>
      </c>
      <c r="P13" s="14">
        <f>1529.39+1238.98</f>
        <v>2768.37</v>
      </c>
      <c r="Q13" s="15">
        <v>0</v>
      </c>
      <c r="R13" s="98">
        <f t="shared" si="0"/>
        <v>2768.37</v>
      </c>
      <c r="S13" s="16"/>
      <c r="T13" s="16"/>
      <c r="U13" s="16"/>
    </row>
    <row r="14" spans="2:35" s="17" customFormat="1" ht="34.5" customHeight="1" x14ac:dyDescent="0.2">
      <c r="B14" s="99">
        <v>10</v>
      </c>
      <c r="C14" s="56" t="s">
        <v>420</v>
      </c>
      <c r="D14" s="10" t="s">
        <v>230</v>
      </c>
      <c r="E14" s="216" t="s">
        <v>646</v>
      </c>
      <c r="F14" s="274" t="s">
        <v>710</v>
      </c>
      <c r="G14" s="9" t="str">
        <f t="shared" si="1"/>
        <v>IMPLANTAÇÃO AGHUSE HOSPITAL GERAL ROBERTO SANTOS - PROJETO AGHUSE - MÓDULOS AMBULATÓRIO ASSISTENCIAL</v>
      </c>
      <c r="H14" s="9" t="s">
        <v>198</v>
      </c>
      <c r="I14" s="18">
        <v>43405</v>
      </c>
      <c r="J14" s="10">
        <v>19</v>
      </c>
      <c r="K14" s="11">
        <v>22</v>
      </c>
      <c r="L14" s="58">
        <v>144.63999999999999</v>
      </c>
      <c r="M14" s="58">
        <v>252.8</v>
      </c>
      <c r="N14" s="58"/>
      <c r="O14" s="12">
        <v>0</v>
      </c>
      <c r="P14" s="14">
        <f>1145.98+952.98</f>
        <v>2098.96</v>
      </c>
      <c r="Q14" s="15">
        <f>630+38</f>
        <v>668</v>
      </c>
      <c r="R14" s="98">
        <f t="shared" si="0"/>
        <v>3164.4</v>
      </c>
      <c r="S14" s="16"/>
      <c r="T14" s="16"/>
      <c r="U14" s="16"/>
    </row>
    <row r="15" spans="2:35" s="17" customFormat="1" ht="25.5" customHeight="1" x14ac:dyDescent="0.2">
      <c r="B15" s="99">
        <v>11</v>
      </c>
      <c r="C15" s="56" t="s">
        <v>421</v>
      </c>
      <c r="D15" s="10" t="s">
        <v>430</v>
      </c>
      <c r="E15" s="216" t="s">
        <v>718</v>
      </c>
      <c r="F15" s="276" t="s">
        <v>711</v>
      </c>
      <c r="G15" s="9" t="str">
        <f t="shared" si="1"/>
        <v>ACOMPANHAMENTO IMPLANTAÇÃO AGHUSE - AMBULATÓRIO ASSISTENCIAL</v>
      </c>
      <c r="H15" s="9" t="s">
        <v>198</v>
      </c>
      <c r="I15" s="18">
        <v>43405</v>
      </c>
      <c r="J15" s="10">
        <v>19</v>
      </c>
      <c r="K15" s="11">
        <v>22</v>
      </c>
      <c r="L15" s="58">
        <v>58.36</v>
      </c>
      <c r="M15" s="58">
        <v>410.14</v>
      </c>
      <c r="N15" s="58"/>
      <c r="O15" s="12">
        <v>0</v>
      </c>
      <c r="P15" s="14">
        <f>1145.98+952.98</f>
        <v>2098.96</v>
      </c>
      <c r="Q15" s="15">
        <f>630+6</f>
        <v>636</v>
      </c>
      <c r="R15" s="98">
        <f t="shared" si="0"/>
        <v>3203.46</v>
      </c>
      <c r="S15" s="16"/>
      <c r="T15" s="16"/>
      <c r="U15" s="16"/>
    </row>
    <row r="16" spans="2:35" s="17" customFormat="1" ht="47.25" customHeight="1" x14ac:dyDescent="0.2">
      <c r="B16" s="99">
        <v>12</v>
      </c>
      <c r="C16" s="56" t="s">
        <v>422</v>
      </c>
      <c r="D16" s="10" t="s">
        <v>186</v>
      </c>
      <c r="E16" s="9" t="s">
        <v>719</v>
      </c>
      <c r="F16" s="274" t="s">
        <v>712</v>
      </c>
      <c r="G16" s="9" t="str">
        <f t="shared" si="1"/>
        <v>REPRESENTAR DIRETORA-PRESIDENTE NA ASSEMBLEIA GERAL ORDINÁRIA DA ABRAHUE - ASSOCIAÇÃO BRASILEIRA DE HOSPITAIS UNIVERSITÁRIOS E DE ENSINO</v>
      </c>
      <c r="H16" s="9" t="s">
        <v>198</v>
      </c>
      <c r="I16" s="18">
        <v>43436</v>
      </c>
      <c r="J16" s="10">
        <v>3</v>
      </c>
      <c r="K16" s="10">
        <v>4</v>
      </c>
      <c r="L16" s="58">
        <v>165.8</v>
      </c>
      <c r="M16" s="58"/>
      <c r="N16" s="58"/>
      <c r="O16" s="12">
        <v>0</v>
      </c>
      <c r="P16" s="14">
        <v>1153.6600000000001</v>
      </c>
      <c r="Q16" s="15">
        <f>233.1+47</f>
        <v>280.10000000000002</v>
      </c>
      <c r="R16" s="98">
        <f t="shared" si="0"/>
        <v>1599.56</v>
      </c>
      <c r="S16" s="16"/>
      <c r="T16" s="16"/>
      <c r="U16" s="16"/>
    </row>
    <row r="17" spans="2:21" s="17" customFormat="1" ht="16.5" customHeight="1" x14ac:dyDescent="0.2">
      <c r="B17" s="99">
        <v>13</v>
      </c>
      <c r="C17" s="56" t="s">
        <v>423</v>
      </c>
      <c r="D17" s="10" t="s">
        <v>11</v>
      </c>
      <c r="E17" s="216" t="s">
        <v>697</v>
      </c>
      <c r="F17" s="275" t="s">
        <v>713</v>
      </c>
      <c r="G17" s="9" t="str">
        <f t="shared" si="1"/>
        <v>RECEBER O TERMO  IG SEST.</v>
      </c>
      <c r="H17" s="9" t="s">
        <v>9</v>
      </c>
      <c r="I17" s="18">
        <v>43405</v>
      </c>
      <c r="J17" s="10">
        <v>23</v>
      </c>
      <c r="K17" s="11">
        <v>23</v>
      </c>
      <c r="L17" s="58"/>
      <c r="M17" s="58"/>
      <c r="N17" s="58"/>
      <c r="O17" s="12">
        <v>0</v>
      </c>
      <c r="P17" s="14">
        <f>720.48+1559.39</f>
        <v>2279.87</v>
      </c>
      <c r="Q17" s="15">
        <v>500</v>
      </c>
      <c r="R17" s="98">
        <f t="shared" si="0"/>
        <v>2779.87</v>
      </c>
      <c r="S17" s="16"/>
      <c r="T17" s="16"/>
      <c r="U17" s="16"/>
    </row>
    <row r="18" spans="2:21" s="17" customFormat="1" ht="27.75" customHeight="1" x14ac:dyDescent="0.2">
      <c r="B18" s="99">
        <v>14</v>
      </c>
      <c r="C18" s="56" t="s">
        <v>424</v>
      </c>
      <c r="D18" s="10" t="s">
        <v>243</v>
      </c>
      <c r="E18" s="216" t="s">
        <v>617</v>
      </c>
      <c r="F18" s="274" t="s">
        <v>714</v>
      </c>
      <c r="G18" s="9" t="str">
        <f t="shared" si="1"/>
        <v>MINISTRAR TREINAMENTO AGHUSE FAB - PROJETO AGHUSE - MÓDULO CIRURGIA</v>
      </c>
      <c r="H18" s="9" t="s">
        <v>161</v>
      </c>
      <c r="I18" s="18">
        <v>43405</v>
      </c>
      <c r="J18" s="10">
        <v>26</v>
      </c>
      <c r="K18" s="11">
        <v>28</v>
      </c>
      <c r="L18" s="58">
        <v>189.04</v>
      </c>
      <c r="M18" s="58">
        <v>146.80000000000001</v>
      </c>
      <c r="N18" s="58"/>
      <c r="O18" s="12">
        <v>0</v>
      </c>
      <c r="P18" s="14">
        <v>1965.15</v>
      </c>
      <c r="Q18" s="15">
        <f>670.26+90.75</f>
        <v>761.01</v>
      </c>
      <c r="R18" s="98">
        <f t="shared" si="0"/>
        <v>3062</v>
      </c>
      <c r="S18" s="16"/>
      <c r="T18" s="16"/>
      <c r="U18" s="16"/>
    </row>
    <row r="19" spans="2:21" s="17" customFormat="1" ht="24.75" customHeight="1" x14ac:dyDescent="0.2">
      <c r="B19" s="99">
        <v>15</v>
      </c>
      <c r="C19" s="56" t="s">
        <v>425</v>
      </c>
      <c r="D19" s="10" t="s">
        <v>431</v>
      </c>
      <c r="E19" s="216" t="s">
        <v>720</v>
      </c>
      <c r="F19" s="274" t="s">
        <v>714</v>
      </c>
      <c r="G19" s="9" t="str">
        <f t="shared" si="1"/>
        <v>MINISTRAR TREINAMENTO AGHUSE FAB - PROJETO AGHUSE - MÓDULO CIRURGIA</v>
      </c>
      <c r="H19" s="9" t="s">
        <v>161</v>
      </c>
      <c r="I19" s="18">
        <v>43405</v>
      </c>
      <c r="J19" s="10">
        <v>26</v>
      </c>
      <c r="K19" s="11">
        <v>28</v>
      </c>
      <c r="L19" s="58">
        <v>151.56</v>
      </c>
      <c r="M19" s="58">
        <v>132.69999999999999</v>
      </c>
      <c r="N19" s="58"/>
      <c r="O19" s="12">
        <v>0</v>
      </c>
      <c r="P19" s="14">
        <f>1087.98+933.17</f>
        <v>2021.15</v>
      </c>
      <c r="Q19" s="15">
        <f>670.26+12.1</f>
        <v>682.36</v>
      </c>
      <c r="R19" s="98">
        <f t="shared" si="0"/>
        <v>2987.77</v>
      </c>
      <c r="S19" s="16"/>
      <c r="T19" s="16"/>
      <c r="U19" s="16"/>
    </row>
    <row r="20" spans="2:21" s="17" customFormat="1" ht="16.5" customHeight="1" x14ac:dyDescent="0.2">
      <c r="B20" s="99">
        <v>16</v>
      </c>
      <c r="C20" s="56" t="s">
        <v>426</v>
      </c>
      <c r="D20" s="10" t="s">
        <v>114</v>
      </c>
      <c r="E20" s="9" t="s">
        <v>483</v>
      </c>
      <c r="F20" s="19" t="s">
        <v>522</v>
      </c>
      <c r="G20" s="9" t="str">
        <f t="shared" si="1"/>
        <v>REUNIÃO DO CONSELHO FISCAL</v>
      </c>
      <c r="H20" s="9" t="s">
        <v>24</v>
      </c>
      <c r="I20" s="18">
        <v>43405</v>
      </c>
      <c r="J20" s="10">
        <v>29</v>
      </c>
      <c r="K20" s="11">
        <v>30</v>
      </c>
      <c r="L20" s="58">
        <v>0</v>
      </c>
      <c r="M20" s="58">
        <v>153.87</v>
      </c>
      <c r="N20" s="58"/>
      <c r="O20" s="12">
        <v>0</v>
      </c>
      <c r="P20" s="14">
        <f>1237.39+1056.98</f>
        <v>2294.37</v>
      </c>
      <c r="Q20" s="15">
        <f>238.7+13</f>
        <v>251.7</v>
      </c>
      <c r="R20" s="98">
        <f t="shared" si="0"/>
        <v>2699.9399999999996</v>
      </c>
      <c r="S20" s="16"/>
      <c r="T20" s="16"/>
      <c r="U20" s="16"/>
    </row>
    <row r="21" spans="2:21" s="17" customFormat="1" ht="12.75" customHeight="1" x14ac:dyDescent="0.2">
      <c r="B21" s="99">
        <v>17</v>
      </c>
      <c r="C21" s="56" t="s">
        <v>427</v>
      </c>
      <c r="D21" s="10" t="s">
        <v>432</v>
      </c>
      <c r="E21" s="9" t="s">
        <v>483</v>
      </c>
      <c r="F21" s="19" t="s">
        <v>522</v>
      </c>
      <c r="G21" s="9" t="str">
        <f t="shared" si="1"/>
        <v>REUNIÃO DO CONSELHO FISCAL</v>
      </c>
      <c r="H21" s="9" t="s">
        <v>24</v>
      </c>
      <c r="I21" s="18">
        <v>43405</v>
      </c>
      <c r="J21" s="10">
        <v>29</v>
      </c>
      <c r="K21" s="11">
        <v>30</v>
      </c>
      <c r="L21" s="58"/>
      <c r="M21" s="58"/>
      <c r="N21" s="58"/>
      <c r="O21" s="12">
        <v>0</v>
      </c>
      <c r="P21" s="14">
        <f>1237.39+1056.98</f>
        <v>2294.37</v>
      </c>
      <c r="Q21" s="15"/>
      <c r="R21" s="98">
        <f t="shared" si="0"/>
        <v>2294.37</v>
      </c>
      <c r="S21" s="16"/>
      <c r="T21" s="16"/>
      <c r="U21" s="16"/>
    </row>
    <row r="22" spans="2:21" s="17" customFormat="1" ht="12.75" customHeight="1" x14ac:dyDescent="0.2">
      <c r="B22" s="99">
        <v>18</v>
      </c>
      <c r="C22" s="56" t="s">
        <v>428</v>
      </c>
      <c r="D22" s="10" t="s">
        <v>36</v>
      </c>
      <c r="E22" s="9" t="s">
        <v>483</v>
      </c>
      <c r="F22" s="19" t="s">
        <v>522</v>
      </c>
      <c r="G22" s="9" t="str">
        <f t="shared" si="1"/>
        <v>REUNIÃO DO CONSELHO FISCAL</v>
      </c>
      <c r="H22" s="9" t="s">
        <v>24</v>
      </c>
      <c r="I22" s="18">
        <v>43405</v>
      </c>
      <c r="J22" s="10">
        <v>29</v>
      </c>
      <c r="K22" s="11">
        <v>30</v>
      </c>
      <c r="L22" s="58">
        <v>0</v>
      </c>
      <c r="M22" s="58">
        <v>177.87</v>
      </c>
      <c r="N22" s="58"/>
      <c r="O22" s="54">
        <f>64.4+48.45</f>
        <v>112.85000000000001</v>
      </c>
      <c r="P22" s="14">
        <f>1237.39+1056.98</f>
        <v>2294.37</v>
      </c>
      <c r="Q22" s="15">
        <f>238.7+19.5</f>
        <v>258.2</v>
      </c>
      <c r="R22" s="98">
        <f t="shared" si="0"/>
        <v>2843.29</v>
      </c>
      <c r="S22" s="16"/>
      <c r="T22" s="16"/>
      <c r="U22" s="16"/>
    </row>
    <row r="23" spans="2:21" s="17" customFormat="1" ht="24.75" customHeight="1" thickBot="1" x14ac:dyDescent="0.25">
      <c r="B23" s="100">
        <v>19</v>
      </c>
      <c r="C23" s="101" t="s">
        <v>429</v>
      </c>
      <c r="D23" s="104" t="s">
        <v>347</v>
      </c>
      <c r="E23" s="235" t="s">
        <v>667</v>
      </c>
      <c r="F23" s="282" t="s">
        <v>709</v>
      </c>
      <c r="G23" s="102" t="str">
        <f t="shared" si="1"/>
        <v>PARTICIPAR DA CAPACITAÇÃO DO  PROJETO LEAN NAS EMERGÊNCIAS</v>
      </c>
      <c r="H23" s="102" t="s">
        <v>53</v>
      </c>
      <c r="I23" s="103">
        <v>43405</v>
      </c>
      <c r="J23" s="104">
        <v>6</v>
      </c>
      <c r="K23" s="105">
        <v>8</v>
      </c>
      <c r="L23" s="149">
        <v>0</v>
      </c>
      <c r="M23" s="149">
        <v>160.94999999999999</v>
      </c>
      <c r="N23" s="149"/>
      <c r="O23" s="128">
        <v>0</v>
      </c>
      <c r="P23" s="107">
        <v>0</v>
      </c>
      <c r="Q23" s="108">
        <v>0</v>
      </c>
      <c r="R23" s="109">
        <f t="shared" si="0"/>
        <v>160.94999999999999</v>
      </c>
      <c r="S23" s="16"/>
      <c r="T23" s="16"/>
      <c r="U23" s="16"/>
    </row>
    <row r="24" spans="2:21" s="31" customFormat="1" ht="24.75" customHeight="1" x14ac:dyDescent="0.2">
      <c r="C24" s="32"/>
      <c r="D24" s="32"/>
      <c r="E24" s="32"/>
      <c r="F24" s="32"/>
      <c r="G24" s="32"/>
      <c r="H24" s="34"/>
      <c r="I24" s="32"/>
      <c r="J24" s="20"/>
      <c r="K24" s="33"/>
      <c r="L24" s="36">
        <f t="shared" ref="L24:Q24" si="2">SUM(L5:L23)</f>
        <v>982.72</v>
      </c>
      <c r="M24" s="36">
        <f t="shared" si="2"/>
        <v>2057.2499999999995</v>
      </c>
      <c r="N24" s="36">
        <f t="shared" si="2"/>
        <v>0</v>
      </c>
      <c r="O24" s="133">
        <f t="shared" si="2"/>
        <v>756.74</v>
      </c>
      <c r="P24" s="60">
        <f t="shared" si="2"/>
        <v>28617.659999999996</v>
      </c>
      <c r="Q24" s="61">
        <f t="shared" si="2"/>
        <v>4772.9699999999993</v>
      </c>
      <c r="R24" s="59">
        <f>SUM(R5:R23)+O25</f>
        <v>37194.907399999996</v>
      </c>
    </row>
    <row r="25" spans="2:21" s="40" customFormat="1" ht="24.75" customHeight="1" thickBot="1" x14ac:dyDescent="0.3">
      <c r="C25" s="41"/>
      <c r="D25" s="288"/>
      <c r="E25" s="288"/>
      <c r="F25" s="288"/>
      <c r="G25" s="288"/>
      <c r="H25" s="288"/>
      <c r="I25" s="288"/>
      <c r="J25" s="288"/>
      <c r="K25" s="42"/>
      <c r="L25" s="43"/>
      <c r="M25" s="43"/>
      <c r="N25" s="91" t="s">
        <v>315</v>
      </c>
      <c r="O25" s="27">
        <f>O24*1%</f>
        <v>7.5674000000000001</v>
      </c>
      <c r="R25" s="44"/>
    </row>
    <row r="26" spans="2:21" s="40" customFormat="1" ht="24.75" customHeight="1" thickBot="1" x14ac:dyDescent="0.3">
      <c r="C26" s="41"/>
      <c r="D26" s="177" t="s">
        <v>369</v>
      </c>
      <c r="E26" s="273"/>
      <c r="F26" s="273"/>
      <c r="G26" s="273"/>
      <c r="H26" s="45"/>
      <c r="I26" s="41"/>
      <c r="J26" s="41"/>
      <c r="K26" s="42"/>
      <c r="L26" s="43"/>
      <c r="M26" s="43"/>
      <c r="N26" s="43"/>
      <c r="O26" s="93">
        <f>O24+O25</f>
        <v>764.30740000000003</v>
      </c>
      <c r="P26" s="46"/>
      <c r="Q26" s="44"/>
      <c r="R26" s="47" t="s">
        <v>50</v>
      </c>
    </row>
    <row r="27" spans="2:21" s="40" customFormat="1" ht="24.75" customHeight="1" x14ac:dyDescent="0.2">
      <c r="C27" s="41"/>
      <c r="D27" s="289"/>
      <c r="E27" s="289"/>
      <c r="F27" s="289"/>
      <c r="G27" s="289"/>
      <c r="H27" s="289"/>
      <c r="I27" s="289"/>
      <c r="J27" s="289"/>
      <c r="K27" s="42"/>
      <c r="L27" s="43"/>
      <c r="M27" s="43"/>
      <c r="N27" s="43"/>
      <c r="O27" s="27"/>
      <c r="P27" s="5" t="s">
        <v>49</v>
      </c>
      <c r="Q27" s="167">
        <f>L24+M24+N24+O26+P24+Q24</f>
        <v>37194.907399999996</v>
      </c>
      <c r="R27" s="48">
        <f>R24-Q27</f>
        <v>0</v>
      </c>
    </row>
    <row r="28" spans="2:21" ht="24.75" customHeight="1" x14ac:dyDescent="0.25">
      <c r="C28" s="49"/>
      <c r="D28" s="50"/>
      <c r="E28" s="50"/>
      <c r="F28" s="50"/>
      <c r="G28" s="50"/>
      <c r="H28" s="51"/>
      <c r="I28" s="52"/>
      <c r="J28" s="52"/>
      <c r="K28" s="52"/>
      <c r="N28" s="91" t="s">
        <v>315</v>
      </c>
      <c r="O28" s="27" t="s">
        <v>316</v>
      </c>
    </row>
    <row r="29" spans="2:21" ht="24.75" customHeight="1" x14ac:dyDescent="0.25">
      <c r="C29" s="49"/>
      <c r="D29" s="50"/>
      <c r="E29" s="50"/>
      <c r="F29" s="50"/>
      <c r="G29" s="50"/>
      <c r="H29" s="51"/>
      <c r="I29" s="52"/>
      <c r="J29" s="52"/>
      <c r="K29" s="52"/>
      <c r="O29" s="27"/>
    </row>
    <row r="30" spans="2:21" ht="24.75" customHeight="1" x14ac:dyDescent="0.25">
      <c r="C30" s="49"/>
      <c r="D30" s="50"/>
      <c r="E30" s="50"/>
      <c r="F30" s="50"/>
      <c r="G30" s="50"/>
      <c r="H30" s="51"/>
      <c r="I30" s="52"/>
      <c r="J30" s="52"/>
      <c r="K30" s="52"/>
      <c r="O30" s="27"/>
    </row>
    <row r="31" spans="2:21" ht="24.75" customHeight="1" x14ac:dyDescent="0.25">
      <c r="C31" s="49"/>
      <c r="D31" s="50"/>
      <c r="E31" s="50"/>
      <c r="F31" s="50"/>
      <c r="G31" s="50"/>
      <c r="H31" s="51"/>
      <c r="I31" s="52"/>
      <c r="J31" s="52"/>
      <c r="K31" s="52"/>
      <c r="O31" s="27"/>
    </row>
    <row r="32" spans="2:21" ht="24.75" customHeight="1" x14ac:dyDescent="0.25">
      <c r="C32" s="49"/>
      <c r="D32" s="50"/>
      <c r="E32" s="50"/>
      <c r="F32" s="50"/>
      <c r="G32" s="50"/>
      <c r="H32" s="51"/>
      <c r="I32" s="52"/>
      <c r="J32" s="52"/>
      <c r="K32" s="52"/>
      <c r="O32" s="27"/>
    </row>
    <row r="33" spans="3:18" ht="24.75" customHeight="1" x14ac:dyDescent="0.25">
      <c r="C33" s="49"/>
      <c r="D33" s="50"/>
      <c r="E33" s="50"/>
      <c r="F33" s="50"/>
      <c r="G33" s="50"/>
      <c r="H33" s="51"/>
      <c r="I33" s="52"/>
      <c r="J33" s="52"/>
      <c r="K33" s="52"/>
      <c r="O33" s="27"/>
    </row>
    <row r="34" spans="3:18" ht="24.75" customHeight="1" x14ac:dyDescent="0.25">
      <c r="C34" s="49"/>
      <c r="D34" s="50"/>
      <c r="E34" s="50"/>
      <c r="F34" s="50"/>
      <c r="G34" s="50"/>
      <c r="H34" s="51"/>
      <c r="I34" s="52"/>
      <c r="J34" s="52"/>
      <c r="K34" s="52"/>
      <c r="O34" s="27"/>
    </row>
    <row r="35" spans="3:18" ht="24.75" customHeight="1" x14ac:dyDescent="0.25">
      <c r="C35" s="49"/>
      <c r="D35" s="50"/>
      <c r="E35" s="50"/>
      <c r="F35" s="50"/>
      <c r="G35" s="50"/>
      <c r="H35" s="51"/>
      <c r="I35" s="52"/>
      <c r="J35" s="52"/>
      <c r="K35" s="52"/>
      <c r="O35" s="27"/>
    </row>
    <row r="36" spans="3:18" ht="24.75" customHeight="1" x14ac:dyDescent="0.25">
      <c r="C36" s="49"/>
      <c r="H36" s="51"/>
      <c r="I36" s="52"/>
      <c r="J36" s="52"/>
      <c r="K36" s="52"/>
      <c r="O36" s="27"/>
    </row>
    <row r="37" spans="3:18" ht="24.75" customHeight="1" x14ac:dyDescent="0.25">
      <c r="C37" s="49"/>
      <c r="D37" s="50"/>
      <c r="E37" s="50"/>
      <c r="F37" s="50"/>
      <c r="G37" s="50"/>
      <c r="H37" s="51"/>
      <c r="I37" s="52"/>
      <c r="J37" s="52"/>
      <c r="K37" s="52"/>
      <c r="O37" s="27"/>
    </row>
    <row r="38" spans="3:18" ht="24.75" customHeight="1" x14ac:dyDescent="0.25">
      <c r="C38" s="49"/>
      <c r="D38" s="50"/>
      <c r="E38" s="50"/>
      <c r="F38" s="50"/>
      <c r="G38" s="50"/>
      <c r="H38" s="51"/>
      <c r="I38" s="52"/>
      <c r="J38" s="52"/>
      <c r="K38" s="52"/>
      <c r="O38" s="53"/>
    </row>
    <row r="39" spans="3:18" ht="24.75" customHeight="1" x14ac:dyDescent="0.25">
      <c r="C39" s="49"/>
      <c r="D39" s="50"/>
      <c r="E39" s="50"/>
      <c r="F39" s="50"/>
      <c r="G39" s="50"/>
      <c r="H39" s="51"/>
      <c r="I39" s="52"/>
      <c r="J39" s="52"/>
      <c r="K39" s="52"/>
      <c r="O39" s="40"/>
      <c r="P39"/>
      <c r="Q39"/>
      <c r="R39"/>
    </row>
    <row r="40" spans="3:18" ht="24.75" customHeight="1" x14ac:dyDescent="0.25">
      <c r="C40" s="49"/>
      <c r="D40" s="50"/>
      <c r="E40" s="50"/>
      <c r="F40" s="50"/>
      <c r="G40" s="50"/>
      <c r="H40" s="51"/>
      <c r="I40" s="52"/>
      <c r="J40" s="52"/>
      <c r="K40" s="52"/>
      <c r="O40" s="40"/>
      <c r="P40"/>
      <c r="Q40"/>
      <c r="R40"/>
    </row>
    <row r="41" spans="3:18" ht="24.75" customHeight="1" x14ac:dyDescent="0.25">
      <c r="C41" s="49"/>
      <c r="D41" s="50"/>
      <c r="E41" s="50"/>
      <c r="F41" s="50"/>
      <c r="G41" s="50"/>
      <c r="H41" s="51"/>
      <c r="I41" s="52"/>
      <c r="J41" s="52"/>
      <c r="K41" s="52"/>
      <c r="O41" s="40"/>
      <c r="P41"/>
      <c r="Q41"/>
      <c r="R41"/>
    </row>
    <row r="42" spans="3:18" ht="24.75" customHeight="1" x14ac:dyDescent="0.25">
      <c r="C42" s="49"/>
      <c r="D42" s="50"/>
      <c r="E42" s="50"/>
      <c r="F42" s="50"/>
      <c r="G42" s="50"/>
      <c r="H42" s="51"/>
      <c r="I42" s="52"/>
      <c r="J42" s="52"/>
      <c r="K42" s="52"/>
      <c r="P42"/>
      <c r="Q42"/>
      <c r="R42"/>
    </row>
    <row r="43" spans="3:18" ht="24.75" customHeight="1" x14ac:dyDescent="0.25">
      <c r="C43" s="49"/>
      <c r="D43" s="50"/>
      <c r="E43" s="50"/>
      <c r="F43" s="50"/>
      <c r="G43" s="50"/>
      <c r="H43" s="51"/>
      <c r="I43" s="52"/>
      <c r="J43" s="52"/>
      <c r="K43" s="52"/>
      <c r="P43"/>
      <c r="Q43"/>
      <c r="R43"/>
    </row>
    <row r="44" spans="3:18" ht="24.75" customHeight="1" x14ac:dyDescent="0.25">
      <c r="C44" s="49"/>
      <c r="D44" s="50"/>
      <c r="E44" s="50"/>
      <c r="F44" s="50"/>
      <c r="G44" s="50"/>
      <c r="H44" s="51"/>
      <c r="I44" s="52"/>
      <c r="J44" s="52"/>
      <c r="K44" s="52"/>
      <c r="P44"/>
      <c r="Q44"/>
      <c r="R44"/>
    </row>
    <row r="45" spans="3:18" ht="24.75" customHeight="1" x14ac:dyDescent="0.25">
      <c r="C45" s="49"/>
      <c r="D45" s="50"/>
      <c r="E45" s="50"/>
      <c r="F45" s="50"/>
      <c r="G45" s="50"/>
      <c r="H45" s="51"/>
      <c r="I45" s="52"/>
      <c r="J45" s="52"/>
      <c r="K45" s="52"/>
      <c r="P45"/>
      <c r="Q45"/>
      <c r="R45"/>
    </row>
    <row r="46" spans="3:18" ht="24.75" customHeight="1" x14ac:dyDescent="0.25">
      <c r="C46" s="49"/>
      <c r="D46" s="50"/>
      <c r="E46" s="50"/>
      <c r="F46" s="50"/>
      <c r="G46" s="50"/>
      <c r="H46" s="51"/>
      <c r="I46" s="52"/>
      <c r="J46" s="52"/>
      <c r="K46" s="52"/>
      <c r="P46"/>
      <c r="Q46"/>
      <c r="R46"/>
    </row>
    <row r="47" spans="3:18" ht="24.75" customHeight="1" x14ac:dyDescent="0.25">
      <c r="C47" s="49"/>
      <c r="D47" s="50"/>
      <c r="E47" s="50"/>
      <c r="F47" s="50"/>
      <c r="G47" s="50"/>
      <c r="H47" s="51"/>
      <c r="I47" s="52"/>
      <c r="J47" s="52"/>
      <c r="K47" s="52"/>
      <c r="P47"/>
      <c r="Q47"/>
      <c r="R47"/>
    </row>
    <row r="48" spans="3:18" ht="24.75" customHeight="1" x14ac:dyDescent="0.25">
      <c r="C48" s="49"/>
      <c r="D48" s="50"/>
      <c r="E48" s="50"/>
      <c r="F48" s="50"/>
      <c r="G48" s="50"/>
      <c r="H48" s="51"/>
      <c r="I48" s="52"/>
      <c r="J48" s="52"/>
      <c r="K48" s="52"/>
      <c r="P48"/>
      <c r="Q48"/>
      <c r="R48"/>
    </row>
    <row r="49" spans="3:18" ht="24.75" customHeight="1" x14ac:dyDescent="0.25">
      <c r="C49" s="49"/>
      <c r="D49" s="50"/>
      <c r="E49" s="50"/>
      <c r="F49" s="50"/>
      <c r="G49" s="50"/>
      <c r="H49" s="51"/>
      <c r="I49" s="52"/>
      <c r="J49" s="52"/>
      <c r="K49" s="52"/>
      <c r="P49"/>
      <c r="Q49"/>
      <c r="R49"/>
    </row>
    <row r="50" spans="3:18" ht="24.75" customHeight="1" x14ac:dyDescent="0.25">
      <c r="C50" s="49"/>
      <c r="D50" s="50"/>
      <c r="E50" s="50"/>
      <c r="F50" s="50"/>
      <c r="G50" s="50"/>
      <c r="H50" s="51"/>
      <c r="I50" s="52"/>
      <c r="J50" s="52"/>
      <c r="K50" s="52"/>
      <c r="P50"/>
      <c r="Q50"/>
      <c r="R50"/>
    </row>
    <row r="51" spans="3:18" ht="24.75" customHeight="1" x14ac:dyDescent="0.25">
      <c r="C51" s="49"/>
      <c r="D51" s="50"/>
      <c r="E51" s="50"/>
      <c r="F51" s="50"/>
      <c r="G51" s="50"/>
      <c r="H51" s="51"/>
      <c r="I51" s="52"/>
      <c r="J51" s="52"/>
      <c r="K51" s="52"/>
      <c r="P51"/>
      <c r="Q51"/>
      <c r="R51"/>
    </row>
    <row r="52" spans="3:18" ht="24.75" customHeight="1" x14ac:dyDescent="0.25">
      <c r="C52" s="49"/>
      <c r="D52" s="50"/>
      <c r="E52" s="50"/>
      <c r="F52" s="50"/>
      <c r="G52" s="50"/>
      <c r="H52" s="51"/>
      <c r="I52" s="52"/>
      <c r="J52" s="52"/>
      <c r="K52" s="52"/>
      <c r="P52"/>
      <c r="Q52"/>
      <c r="R52"/>
    </row>
    <row r="53" spans="3:18" ht="24.75" customHeight="1" x14ac:dyDescent="0.25">
      <c r="C53" s="49"/>
      <c r="D53" s="50"/>
      <c r="E53" s="50"/>
      <c r="F53" s="50"/>
      <c r="G53" s="50"/>
      <c r="H53" s="51"/>
      <c r="I53" s="52"/>
      <c r="J53" s="52"/>
      <c r="K53" s="52"/>
      <c r="P53"/>
      <c r="Q53"/>
      <c r="R53"/>
    </row>
    <row r="54" spans="3:18" ht="24.75" customHeight="1" x14ac:dyDescent="0.25">
      <c r="C54" s="49"/>
      <c r="D54" s="50"/>
      <c r="E54" s="50"/>
      <c r="F54" s="50"/>
      <c r="G54" s="50"/>
      <c r="H54" s="51"/>
      <c r="I54" s="52"/>
      <c r="J54" s="52"/>
      <c r="K54" s="52"/>
      <c r="P54"/>
      <c r="Q54"/>
      <c r="R54"/>
    </row>
    <row r="55" spans="3:18" ht="24.75" customHeight="1" x14ac:dyDescent="0.25">
      <c r="C55" s="49"/>
      <c r="D55" s="50"/>
      <c r="E55" s="50"/>
      <c r="F55" s="50"/>
      <c r="G55" s="50"/>
      <c r="H55" s="51"/>
      <c r="I55" s="52"/>
      <c r="J55" s="52"/>
      <c r="K55" s="52"/>
      <c r="L55"/>
      <c r="M55"/>
      <c r="N55"/>
      <c r="P55"/>
      <c r="Q55"/>
      <c r="R55"/>
    </row>
    <row r="56" spans="3:18" ht="24.75" customHeight="1" x14ac:dyDescent="0.25">
      <c r="C56" s="49"/>
      <c r="D56" s="50"/>
      <c r="E56" s="50"/>
      <c r="F56" s="50"/>
      <c r="G56" s="50"/>
      <c r="H56" s="51"/>
      <c r="I56" s="52"/>
      <c r="J56" s="52"/>
      <c r="K56" s="52"/>
      <c r="L56"/>
      <c r="M56"/>
      <c r="N56"/>
      <c r="P56"/>
      <c r="Q56"/>
      <c r="R56"/>
    </row>
    <row r="57" spans="3:18" ht="24.75" customHeight="1" x14ac:dyDescent="0.25">
      <c r="C57" s="49"/>
      <c r="D57" s="50"/>
      <c r="E57" s="50"/>
      <c r="F57" s="50"/>
      <c r="G57" s="50"/>
      <c r="H57" s="51"/>
      <c r="I57" s="52"/>
      <c r="J57" s="52"/>
      <c r="K57" s="52"/>
      <c r="L57"/>
      <c r="M57"/>
      <c r="N57"/>
      <c r="P57"/>
      <c r="Q57"/>
      <c r="R57"/>
    </row>
    <row r="58" spans="3:18" ht="24.75" customHeight="1" x14ac:dyDescent="0.25">
      <c r="C58" s="49"/>
      <c r="D58" s="50"/>
      <c r="E58" s="50"/>
      <c r="F58" s="50"/>
      <c r="G58" s="50"/>
      <c r="H58" s="51"/>
      <c r="I58" s="52"/>
      <c r="J58" s="52"/>
      <c r="K58" s="52"/>
      <c r="L58"/>
      <c r="M58"/>
      <c r="N58"/>
      <c r="P58"/>
      <c r="Q58"/>
      <c r="R58"/>
    </row>
    <row r="59" spans="3:18" ht="24.75" customHeight="1" x14ac:dyDescent="0.25">
      <c r="C59" s="49"/>
      <c r="D59" s="50"/>
      <c r="E59" s="50"/>
      <c r="F59" s="50"/>
      <c r="G59" s="50"/>
      <c r="H59" s="51"/>
      <c r="I59" s="52"/>
      <c r="J59" s="52"/>
      <c r="K59" s="52"/>
      <c r="L59"/>
      <c r="M59"/>
      <c r="N59"/>
      <c r="P59"/>
      <c r="Q59"/>
      <c r="R59"/>
    </row>
    <row r="60" spans="3:18" ht="24.75" customHeight="1" x14ac:dyDescent="0.25">
      <c r="C60" s="49"/>
      <c r="D60" s="50"/>
      <c r="E60" s="50"/>
      <c r="F60" s="50"/>
      <c r="G60" s="50"/>
      <c r="H60" s="51"/>
      <c r="I60" s="52"/>
      <c r="J60" s="52"/>
      <c r="K60" s="52"/>
      <c r="L60"/>
      <c r="M60"/>
      <c r="N60"/>
      <c r="P60"/>
      <c r="Q60"/>
      <c r="R60"/>
    </row>
    <row r="61" spans="3:18" ht="24.75" customHeight="1" x14ac:dyDescent="0.25">
      <c r="C61" s="49"/>
      <c r="D61" s="50"/>
      <c r="E61" s="50"/>
      <c r="F61" s="50"/>
      <c r="G61" s="50"/>
      <c r="H61" s="51"/>
      <c r="I61" s="52"/>
      <c r="J61" s="52"/>
      <c r="K61" s="52"/>
      <c r="L61"/>
      <c r="M61"/>
      <c r="N61"/>
      <c r="P61"/>
      <c r="Q61"/>
      <c r="R61"/>
    </row>
    <row r="62" spans="3:18" ht="24.75" customHeight="1" x14ac:dyDescent="0.25">
      <c r="C62" s="49"/>
      <c r="D62" s="50"/>
      <c r="E62" s="50"/>
      <c r="F62" s="50"/>
      <c r="G62" s="50"/>
      <c r="H62" s="51"/>
      <c r="I62" s="52"/>
      <c r="J62" s="52"/>
      <c r="K62" s="52"/>
      <c r="L62"/>
      <c r="M62"/>
      <c r="N62"/>
      <c r="P62"/>
      <c r="Q62"/>
      <c r="R62"/>
    </row>
    <row r="63" spans="3:18" ht="24.75" customHeight="1" x14ac:dyDescent="0.25">
      <c r="C63" s="49"/>
      <c r="D63" s="50"/>
      <c r="E63" s="50"/>
      <c r="F63" s="50"/>
      <c r="G63" s="50"/>
      <c r="H63" s="51"/>
      <c r="I63" s="52"/>
      <c r="J63" s="52"/>
      <c r="K63" s="52"/>
      <c r="L63"/>
      <c r="M63"/>
      <c r="N63"/>
      <c r="P63"/>
      <c r="Q63"/>
      <c r="R63"/>
    </row>
    <row r="64" spans="3:18" ht="24.75" customHeight="1" x14ac:dyDescent="0.25">
      <c r="C64" s="49"/>
      <c r="D64" s="50"/>
      <c r="E64" s="50"/>
      <c r="F64" s="50"/>
      <c r="G64" s="50"/>
      <c r="H64" s="51"/>
      <c r="I64" s="52"/>
      <c r="J64" s="52"/>
      <c r="K64" s="52"/>
      <c r="L64"/>
      <c r="M64"/>
      <c r="N64"/>
      <c r="P64"/>
      <c r="Q64"/>
      <c r="R64"/>
    </row>
    <row r="65" spans="3:18" ht="24.75" customHeight="1" x14ac:dyDescent="0.25">
      <c r="C65" s="49"/>
      <c r="D65" s="50"/>
      <c r="E65" s="50"/>
      <c r="F65" s="50"/>
      <c r="G65" s="50"/>
      <c r="H65" s="51"/>
      <c r="I65" s="52"/>
      <c r="J65" s="52"/>
      <c r="K65" s="52"/>
      <c r="L65"/>
      <c r="M65"/>
      <c r="N65"/>
      <c r="P65"/>
      <c r="Q65"/>
      <c r="R65"/>
    </row>
    <row r="66" spans="3:18" ht="24.75" customHeight="1" x14ac:dyDescent="0.25">
      <c r="C66" s="49"/>
      <c r="D66" s="50"/>
      <c r="E66" s="50"/>
      <c r="F66" s="50"/>
      <c r="G66" s="50"/>
      <c r="H66" s="51"/>
      <c r="I66" s="52"/>
      <c r="J66" s="52"/>
      <c r="K66" s="52"/>
      <c r="L66"/>
      <c r="M66"/>
      <c r="N66"/>
      <c r="P66"/>
      <c r="Q66"/>
      <c r="R66"/>
    </row>
    <row r="67" spans="3:18" ht="24.75" customHeight="1" x14ac:dyDescent="0.25">
      <c r="C67" s="49"/>
      <c r="D67" s="50"/>
      <c r="E67" s="50"/>
      <c r="F67" s="50"/>
      <c r="G67" s="50"/>
      <c r="H67" s="51"/>
      <c r="I67" s="52"/>
      <c r="J67" s="52"/>
      <c r="K67" s="52"/>
      <c r="L67"/>
      <c r="M67"/>
      <c r="N67"/>
      <c r="P67"/>
      <c r="Q67"/>
      <c r="R67"/>
    </row>
    <row r="68" spans="3:18" ht="24.75" customHeight="1" x14ac:dyDescent="0.25">
      <c r="C68" s="49"/>
      <c r="D68" s="50"/>
      <c r="E68" s="50"/>
      <c r="F68" s="50"/>
      <c r="G68" s="50"/>
      <c r="H68" s="51"/>
      <c r="I68" s="52"/>
      <c r="J68" s="52"/>
      <c r="K68" s="52"/>
      <c r="L68"/>
      <c r="M68"/>
      <c r="N68"/>
      <c r="P68"/>
      <c r="Q68"/>
      <c r="R68"/>
    </row>
    <row r="69" spans="3:18" ht="24.75" customHeight="1" x14ac:dyDescent="0.25">
      <c r="C69" s="49"/>
      <c r="D69" s="50"/>
      <c r="E69" s="50"/>
      <c r="F69" s="50"/>
      <c r="G69" s="50"/>
      <c r="H69" s="51"/>
      <c r="I69" s="52"/>
      <c r="J69" s="52"/>
      <c r="K69" s="52"/>
      <c r="L69"/>
      <c r="M69"/>
      <c r="N69"/>
      <c r="P69"/>
      <c r="Q69"/>
      <c r="R69"/>
    </row>
    <row r="70" spans="3:18" ht="24.75" customHeight="1" x14ac:dyDescent="0.25">
      <c r="C70" s="49"/>
      <c r="D70" s="50"/>
      <c r="E70" s="50"/>
      <c r="F70" s="50"/>
      <c r="G70" s="50"/>
      <c r="H70" s="51"/>
      <c r="I70" s="52"/>
      <c r="J70" s="52"/>
      <c r="K70" s="52"/>
      <c r="L70"/>
      <c r="M70"/>
      <c r="N70"/>
      <c r="P70"/>
      <c r="Q70"/>
      <c r="R70"/>
    </row>
    <row r="71" spans="3:18" ht="24.75" customHeight="1" x14ac:dyDescent="0.25">
      <c r="C71" s="49"/>
      <c r="D71" s="50"/>
      <c r="E71" s="50"/>
      <c r="F71" s="50"/>
      <c r="G71" s="50"/>
      <c r="H71" s="51"/>
      <c r="I71" s="52"/>
      <c r="J71" s="52"/>
      <c r="K71" s="52"/>
      <c r="L71"/>
      <c r="M71"/>
      <c r="N71"/>
      <c r="P71"/>
      <c r="Q71"/>
      <c r="R71"/>
    </row>
    <row r="72" spans="3:18" ht="24.75" customHeight="1" x14ac:dyDescent="0.25">
      <c r="C72" s="49"/>
      <c r="D72" s="50"/>
      <c r="E72" s="50"/>
      <c r="F72" s="50"/>
      <c r="G72" s="50"/>
      <c r="H72" s="51"/>
      <c r="I72" s="52"/>
      <c r="J72" s="52"/>
      <c r="K72" s="52"/>
      <c r="L72"/>
      <c r="M72"/>
      <c r="N72"/>
      <c r="P72"/>
      <c r="Q72"/>
      <c r="R72"/>
    </row>
    <row r="73" spans="3:18" ht="24.75" customHeight="1" x14ac:dyDescent="0.25">
      <c r="C73" s="49"/>
      <c r="D73" s="50"/>
      <c r="E73" s="50"/>
      <c r="F73" s="50"/>
      <c r="G73" s="50"/>
      <c r="H73" s="51"/>
      <c r="I73" s="52"/>
      <c r="J73" s="52"/>
      <c r="K73" s="52"/>
      <c r="L73"/>
      <c r="M73"/>
      <c r="N73"/>
      <c r="P73"/>
      <c r="Q73"/>
      <c r="R73"/>
    </row>
    <row r="74" spans="3:18" ht="24.75" customHeight="1" x14ac:dyDescent="0.25">
      <c r="C74" s="49"/>
      <c r="D74" s="50"/>
      <c r="E74" s="50"/>
      <c r="F74" s="50"/>
      <c r="G74" s="50"/>
      <c r="H74" s="51"/>
      <c r="I74" s="52"/>
      <c r="J74" s="52"/>
      <c r="K74" s="52"/>
      <c r="L74"/>
      <c r="M74"/>
      <c r="N74"/>
      <c r="P74"/>
      <c r="Q74"/>
      <c r="R74"/>
    </row>
    <row r="75" spans="3:18" ht="24.75" customHeight="1" x14ac:dyDescent="0.25">
      <c r="C75" s="49"/>
      <c r="D75" s="50"/>
      <c r="E75" s="50"/>
      <c r="F75" s="50"/>
      <c r="G75" s="50"/>
      <c r="H75" s="51"/>
      <c r="I75" s="52"/>
      <c r="J75" s="52"/>
      <c r="K75" s="52"/>
      <c r="L75"/>
      <c r="M75"/>
      <c r="N75"/>
      <c r="P75"/>
      <c r="Q75"/>
      <c r="R75"/>
    </row>
    <row r="76" spans="3:18" ht="24.75" customHeight="1" x14ac:dyDescent="0.25">
      <c r="C76" s="49"/>
      <c r="D76" s="50"/>
      <c r="E76" s="50"/>
      <c r="F76" s="50"/>
      <c r="G76" s="50"/>
      <c r="H76" s="51"/>
      <c r="I76" s="52"/>
      <c r="J76" s="52"/>
      <c r="K76" s="52"/>
      <c r="L76"/>
      <c r="M76"/>
      <c r="N76"/>
      <c r="P76"/>
      <c r="Q76"/>
      <c r="R76"/>
    </row>
    <row r="77" spans="3:18" ht="24.75" customHeight="1" x14ac:dyDescent="0.25">
      <c r="C77" s="49"/>
      <c r="D77" s="50"/>
      <c r="E77" s="50"/>
      <c r="F77" s="50"/>
      <c r="G77" s="50"/>
      <c r="H77" s="51"/>
      <c r="I77" s="52"/>
      <c r="J77" s="52"/>
      <c r="K77" s="52"/>
      <c r="L77"/>
      <c r="M77"/>
      <c r="N77"/>
      <c r="P77"/>
      <c r="Q77"/>
      <c r="R77"/>
    </row>
    <row r="78" spans="3:18" ht="24.75" customHeight="1" x14ac:dyDescent="0.25">
      <c r="C78" s="49"/>
      <c r="D78" s="50"/>
      <c r="E78" s="50"/>
      <c r="F78" s="50"/>
      <c r="G78" s="50"/>
      <c r="H78" s="51"/>
      <c r="I78" s="52"/>
      <c r="J78" s="52"/>
      <c r="K78" s="52"/>
      <c r="L78"/>
      <c r="M78"/>
      <c r="N78"/>
      <c r="P78"/>
      <c r="Q78"/>
      <c r="R78"/>
    </row>
    <row r="79" spans="3:18" ht="24.75" customHeight="1" x14ac:dyDescent="0.25">
      <c r="C79" s="49"/>
      <c r="D79" s="50"/>
      <c r="E79" s="50"/>
      <c r="F79" s="50"/>
      <c r="G79" s="50"/>
      <c r="H79" s="51"/>
      <c r="I79" s="52"/>
      <c r="J79" s="52"/>
      <c r="K79" s="52"/>
      <c r="L79"/>
      <c r="M79"/>
      <c r="N79"/>
      <c r="P79"/>
      <c r="Q79"/>
      <c r="R79"/>
    </row>
    <row r="80" spans="3:18" ht="24.75" customHeight="1" x14ac:dyDescent="0.25">
      <c r="C80" s="49"/>
      <c r="D80" s="50"/>
      <c r="E80" s="50"/>
      <c r="F80" s="50"/>
      <c r="G80" s="50"/>
      <c r="H80" s="51"/>
      <c r="I80" s="52"/>
      <c r="J80" s="52"/>
      <c r="K80" s="52"/>
      <c r="L80"/>
      <c r="M80"/>
      <c r="N80"/>
      <c r="P80"/>
      <c r="Q80"/>
      <c r="R80"/>
    </row>
    <row r="81" spans="3:18" ht="24.75" customHeight="1" x14ac:dyDescent="0.25">
      <c r="C81" s="49"/>
      <c r="D81" s="50"/>
      <c r="E81" s="50"/>
      <c r="F81" s="50"/>
      <c r="G81" s="50"/>
      <c r="H81" s="51"/>
      <c r="I81" s="52"/>
      <c r="J81" s="52"/>
      <c r="K81" s="52"/>
      <c r="L81"/>
      <c r="M81"/>
      <c r="N81"/>
      <c r="P81"/>
      <c r="Q81"/>
      <c r="R81"/>
    </row>
    <row r="82" spans="3:18" ht="24.75" customHeight="1" x14ac:dyDescent="0.25">
      <c r="C82" s="49"/>
      <c r="D82" s="50"/>
      <c r="E82" s="50"/>
      <c r="F82" s="50"/>
      <c r="G82" s="50"/>
      <c r="H82" s="51"/>
      <c r="I82" s="52"/>
      <c r="J82" s="52"/>
      <c r="K82" s="52"/>
      <c r="L82"/>
      <c r="M82"/>
      <c r="N82"/>
      <c r="P82"/>
      <c r="Q82"/>
      <c r="R82"/>
    </row>
    <row r="83" spans="3:18" ht="24.75" customHeight="1" x14ac:dyDescent="0.25">
      <c r="C83" s="49"/>
      <c r="D83" s="50"/>
      <c r="E83" s="50"/>
      <c r="F83" s="50"/>
      <c r="G83" s="50"/>
      <c r="H83" s="51"/>
      <c r="I83" s="52"/>
      <c r="J83" s="52"/>
      <c r="K83" s="52"/>
      <c r="L83"/>
      <c r="M83"/>
      <c r="N83"/>
      <c r="P83"/>
      <c r="Q83"/>
      <c r="R83"/>
    </row>
    <row r="84" spans="3:18" ht="24.75" customHeight="1" x14ac:dyDescent="0.25">
      <c r="C84" s="49"/>
      <c r="D84" s="50"/>
      <c r="E84" s="50"/>
      <c r="F84" s="50"/>
      <c r="G84" s="50"/>
      <c r="H84" s="51"/>
      <c r="I84" s="52"/>
      <c r="J84" s="52"/>
      <c r="K84" s="52"/>
      <c r="L84"/>
      <c r="M84"/>
      <c r="N84"/>
      <c r="P84"/>
      <c r="Q84"/>
      <c r="R84"/>
    </row>
    <row r="85" spans="3:18" ht="24.75" customHeight="1" x14ac:dyDescent="0.25">
      <c r="C85" s="49"/>
      <c r="D85" s="50"/>
      <c r="E85" s="50"/>
      <c r="F85" s="50"/>
      <c r="G85" s="50"/>
      <c r="H85" s="51"/>
      <c r="I85" s="52"/>
      <c r="J85" s="52"/>
      <c r="K85" s="52"/>
      <c r="L85"/>
      <c r="M85"/>
      <c r="N85"/>
      <c r="P85"/>
      <c r="Q85"/>
      <c r="R85"/>
    </row>
    <row r="86" spans="3:18" ht="24.75" customHeight="1" x14ac:dyDescent="0.25">
      <c r="C86" s="49"/>
      <c r="D86" s="50"/>
      <c r="E86" s="50"/>
      <c r="F86" s="50"/>
      <c r="G86" s="50"/>
      <c r="H86" s="51"/>
      <c r="I86" s="52"/>
      <c r="J86" s="52"/>
      <c r="K86" s="52"/>
      <c r="L86"/>
      <c r="M86"/>
      <c r="N86"/>
      <c r="P86"/>
      <c r="Q86"/>
      <c r="R86"/>
    </row>
    <row r="87" spans="3:18" ht="24.75" customHeight="1" x14ac:dyDescent="0.25">
      <c r="C87" s="49"/>
      <c r="D87" s="50"/>
      <c r="E87" s="50"/>
      <c r="F87" s="50"/>
      <c r="G87" s="50"/>
      <c r="H87" s="51"/>
      <c r="I87" s="52"/>
      <c r="J87" s="52"/>
      <c r="K87" s="52"/>
      <c r="L87"/>
      <c r="M87"/>
      <c r="N87"/>
      <c r="P87"/>
      <c r="Q87"/>
      <c r="R87"/>
    </row>
    <row r="88" spans="3:18" ht="24.75" customHeight="1" x14ac:dyDescent="0.25">
      <c r="C88" s="49"/>
      <c r="D88" s="50"/>
      <c r="E88" s="50"/>
      <c r="F88" s="50"/>
      <c r="G88" s="50"/>
      <c r="H88" s="51"/>
      <c r="I88" s="52"/>
      <c r="J88" s="52"/>
      <c r="K88" s="52"/>
      <c r="L88"/>
      <c r="M88"/>
      <c r="N88"/>
      <c r="P88"/>
      <c r="Q88"/>
      <c r="R88"/>
    </row>
    <row r="89" spans="3:18" ht="24.75" customHeight="1" x14ac:dyDescent="0.25">
      <c r="C89" s="49"/>
      <c r="D89" s="50"/>
      <c r="E89" s="50"/>
      <c r="F89" s="50"/>
      <c r="G89" s="50"/>
      <c r="H89" s="51"/>
      <c r="I89" s="52"/>
      <c r="J89" s="52"/>
      <c r="K89" s="52"/>
      <c r="L89"/>
      <c r="M89"/>
      <c r="N89"/>
      <c r="P89"/>
      <c r="Q89"/>
      <c r="R89"/>
    </row>
    <row r="90" spans="3:18" ht="24.75" customHeight="1" x14ac:dyDescent="0.25">
      <c r="C90" s="49"/>
      <c r="D90" s="50"/>
      <c r="E90" s="50"/>
      <c r="F90" s="50"/>
      <c r="G90" s="50"/>
      <c r="H90" s="51"/>
      <c r="I90" s="52"/>
      <c r="J90" s="52"/>
      <c r="K90" s="52"/>
      <c r="L90"/>
      <c r="M90"/>
      <c r="N90"/>
      <c r="P90"/>
      <c r="Q90"/>
      <c r="R90"/>
    </row>
    <row r="91" spans="3:18" ht="24.75" customHeight="1" x14ac:dyDescent="0.25">
      <c r="C91" s="49"/>
      <c r="D91" s="50"/>
      <c r="E91" s="50"/>
      <c r="F91" s="50"/>
      <c r="G91" s="50"/>
      <c r="H91" s="51"/>
      <c r="I91" s="52"/>
      <c r="J91" s="52"/>
      <c r="K91" s="52"/>
      <c r="L91"/>
      <c r="M91"/>
      <c r="N91"/>
      <c r="P91"/>
      <c r="Q91"/>
      <c r="R91"/>
    </row>
    <row r="92" spans="3:18" ht="24.75" customHeight="1" x14ac:dyDescent="0.25">
      <c r="C92" s="49"/>
      <c r="D92" s="50"/>
      <c r="E92" s="50"/>
      <c r="F92" s="50"/>
      <c r="G92" s="50"/>
      <c r="H92" s="51"/>
      <c r="I92" s="52"/>
      <c r="J92" s="52"/>
      <c r="K92" s="52"/>
      <c r="L92"/>
      <c r="M92"/>
      <c r="N92"/>
      <c r="P92"/>
      <c r="Q92"/>
      <c r="R92"/>
    </row>
    <row r="93" spans="3:18" ht="24.75" customHeight="1" x14ac:dyDescent="0.25">
      <c r="C93" s="49"/>
      <c r="D93" s="50"/>
      <c r="E93" s="50"/>
      <c r="F93" s="50"/>
      <c r="G93" s="50"/>
      <c r="H93" s="51"/>
      <c r="I93" s="52"/>
      <c r="J93" s="52"/>
      <c r="K93" s="52"/>
      <c r="L93"/>
      <c r="M93"/>
      <c r="N93"/>
      <c r="P93"/>
      <c r="Q93"/>
      <c r="R93"/>
    </row>
    <row r="94" spans="3:18" ht="24.75" customHeight="1" x14ac:dyDescent="0.25">
      <c r="C94" s="49"/>
      <c r="D94" s="50"/>
      <c r="E94" s="50"/>
      <c r="F94" s="50"/>
      <c r="G94" s="50"/>
      <c r="H94" s="51"/>
      <c r="I94" s="52"/>
      <c r="J94" s="52"/>
      <c r="K94" s="52"/>
      <c r="L94"/>
      <c r="M94"/>
      <c r="N94"/>
      <c r="P94"/>
      <c r="Q94"/>
      <c r="R94"/>
    </row>
    <row r="95" spans="3:18" ht="24.75" customHeight="1" x14ac:dyDescent="0.25">
      <c r="C95" s="49"/>
      <c r="D95" s="50"/>
      <c r="E95" s="50"/>
      <c r="F95" s="50"/>
      <c r="G95" s="50"/>
      <c r="H95" s="51"/>
      <c r="I95" s="52"/>
      <c r="J95" s="52"/>
      <c r="K95" s="52"/>
      <c r="L95"/>
      <c r="M95"/>
      <c r="N95"/>
      <c r="P95"/>
      <c r="Q95"/>
      <c r="R95"/>
    </row>
    <row r="96" spans="3:18" ht="24.75" customHeight="1" x14ac:dyDescent="0.25">
      <c r="C96" s="49"/>
      <c r="D96" s="50"/>
      <c r="E96" s="50"/>
      <c r="F96" s="50"/>
      <c r="G96" s="50"/>
      <c r="H96" s="51"/>
      <c r="I96" s="52"/>
      <c r="J96" s="52"/>
      <c r="K96" s="52"/>
      <c r="L96"/>
      <c r="M96"/>
      <c r="N96"/>
      <c r="P96"/>
      <c r="Q96"/>
      <c r="R96"/>
    </row>
    <row r="97" spans="3:18" ht="24.75" customHeight="1" x14ac:dyDescent="0.25">
      <c r="C97" s="49"/>
      <c r="D97" s="50"/>
      <c r="E97" s="50"/>
      <c r="F97" s="50"/>
      <c r="G97" s="50"/>
      <c r="H97" s="51"/>
      <c r="I97" s="52"/>
      <c r="J97" s="52"/>
      <c r="K97" s="52"/>
      <c r="L97"/>
      <c r="M97"/>
      <c r="N97"/>
      <c r="P97"/>
      <c r="Q97"/>
      <c r="R97"/>
    </row>
    <row r="98" spans="3:18" ht="24.75" customHeight="1" x14ac:dyDescent="0.25">
      <c r="C98" s="49"/>
      <c r="D98" s="50"/>
      <c r="E98" s="50"/>
      <c r="F98" s="50"/>
      <c r="G98" s="50"/>
      <c r="H98" s="51"/>
      <c r="I98" s="52"/>
      <c r="J98" s="52"/>
      <c r="K98" s="52"/>
      <c r="L98"/>
      <c r="M98"/>
      <c r="N98"/>
      <c r="P98"/>
      <c r="Q98"/>
      <c r="R98"/>
    </row>
    <row r="99" spans="3:18" ht="24.75" customHeight="1" x14ac:dyDescent="0.25">
      <c r="C99" s="49"/>
      <c r="D99" s="50"/>
      <c r="E99" s="50"/>
      <c r="F99" s="50"/>
      <c r="G99" s="50"/>
      <c r="H99" s="51"/>
      <c r="I99" s="52"/>
      <c r="J99" s="52"/>
      <c r="K99" s="52"/>
      <c r="L99"/>
      <c r="M99"/>
      <c r="N99"/>
      <c r="P99"/>
      <c r="Q99"/>
      <c r="R99"/>
    </row>
    <row r="100" spans="3:18" ht="24.75" customHeight="1" x14ac:dyDescent="0.25">
      <c r="C100" s="49"/>
      <c r="D100" s="50"/>
      <c r="E100" s="50"/>
      <c r="F100" s="50"/>
      <c r="G100" s="50"/>
      <c r="H100" s="51"/>
      <c r="I100" s="52"/>
      <c r="J100" s="52"/>
      <c r="K100" s="52"/>
      <c r="L100"/>
      <c r="M100"/>
      <c r="N100"/>
      <c r="P100"/>
      <c r="Q100"/>
      <c r="R100"/>
    </row>
    <row r="101" spans="3:18" ht="24.75" customHeight="1" x14ac:dyDescent="0.25">
      <c r="C101" s="49"/>
      <c r="D101" s="50"/>
      <c r="E101" s="50"/>
      <c r="F101" s="50"/>
      <c r="G101" s="50"/>
      <c r="H101" s="51"/>
      <c r="I101" s="52"/>
      <c r="J101" s="52"/>
      <c r="K101" s="52"/>
      <c r="L101"/>
      <c r="M101"/>
      <c r="N101"/>
      <c r="P101"/>
      <c r="Q101"/>
      <c r="R101"/>
    </row>
    <row r="102" spans="3:18" ht="24.75" customHeight="1" x14ac:dyDescent="0.25">
      <c r="C102" s="49"/>
      <c r="D102" s="50"/>
      <c r="E102" s="50"/>
      <c r="F102" s="50"/>
      <c r="G102" s="50"/>
      <c r="H102" s="51"/>
      <c r="I102" s="52"/>
      <c r="J102" s="52"/>
      <c r="K102" s="52"/>
      <c r="L102"/>
      <c r="M102"/>
      <c r="N102"/>
      <c r="P102"/>
      <c r="Q102"/>
      <c r="R102"/>
    </row>
    <row r="103" spans="3:18" ht="24.75" customHeight="1" x14ac:dyDescent="0.25">
      <c r="C103" s="49"/>
      <c r="D103" s="50"/>
      <c r="E103" s="50"/>
      <c r="F103" s="50"/>
      <c r="G103" s="50"/>
      <c r="H103" s="51"/>
      <c r="I103" s="52"/>
      <c r="J103" s="52"/>
      <c r="K103" s="52"/>
      <c r="L103"/>
      <c r="M103"/>
      <c r="N103"/>
      <c r="P103"/>
      <c r="Q103"/>
      <c r="R103"/>
    </row>
    <row r="104" spans="3:18" ht="24.75" customHeight="1" x14ac:dyDescent="0.25">
      <c r="C104" s="49"/>
      <c r="D104" s="50"/>
      <c r="E104" s="50"/>
      <c r="F104" s="50"/>
      <c r="G104" s="50"/>
      <c r="H104" s="51"/>
      <c r="I104" s="52"/>
      <c r="J104" s="52"/>
      <c r="K104" s="52"/>
      <c r="L104"/>
      <c r="M104"/>
      <c r="N104"/>
      <c r="P104"/>
      <c r="Q104"/>
      <c r="R104"/>
    </row>
    <row r="105" spans="3:18" ht="24.75" customHeight="1" x14ac:dyDescent="0.25">
      <c r="C105" s="49"/>
      <c r="D105" s="50"/>
      <c r="E105" s="50"/>
      <c r="F105" s="50"/>
      <c r="G105" s="50"/>
      <c r="H105" s="51"/>
      <c r="I105" s="52"/>
      <c r="J105" s="52"/>
      <c r="K105" s="52"/>
      <c r="L105"/>
      <c r="M105"/>
      <c r="N105"/>
      <c r="P105"/>
      <c r="Q105"/>
      <c r="R105"/>
    </row>
    <row r="106" spans="3:18" ht="24.75" customHeight="1" x14ac:dyDescent="0.25">
      <c r="C106" s="49"/>
      <c r="D106" s="50"/>
      <c r="E106" s="50"/>
      <c r="F106" s="50"/>
      <c r="G106" s="50"/>
      <c r="H106" s="51"/>
      <c r="I106" s="52"/>
      <c r="J106" s="52"/>
      <c r="K106" s="52"/>
      <c r="L106"/>
      <c r="M106"/>
      <c r="N106"/>
      <c r="P106"/>
      <c r="Q106"/>
      <c r="R106"/>
    </row>
  </sheetData>
  <sheetProtection password="EFEB" sheet="1" objects="1" scenarios="1"/>
  <mergeCells count="6">
    <mergeCell ref="D27:J27"/>
    <mergeCell ref="B2:R2"/>
    <mergeCell ref="L3:N3"/>
    <mergeCell ref="P3:R3"/>
    <mergeCell ref="I4:K4"/>
    <mergeCell ref="D25:J25"/>
  </mergeCells>
  <pageMargins left="0.511811024" right="0.511811024" top="0.78740157499999996" bottom="0.78740157499999996" header="0.31496062000000002" footer="0.31496062000000002"/>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3"/>
  <dimension ref="B1:AJ107"/>
  <sheetViews>
    <sheetView workbookViewId="0">
      <selection activeCell="L9" sqref="L9"/>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4" width="14.14062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140625" customWidth="1"/>
    <col min="254" max="254" width="13.140625" customWidth="1"/>
    <col min="255" max="255" width="8.140625" customWidth="1"/>
    <col min="256" max="256" width="10.85546875" customWidth="1"/>
    <col min="257" max="257" width="38.85546875" customWidth="1"/>
    <col min="258" max="258" width="25.5703125" customWidth="1"/>
    <col min="262" max="262" width="44.85546875" customWidth="1"/>
    <col min="263" max="264" width="14.14062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140625" customWidth="1"/>
    <col min="510" max="510" width="13.140625" customWidth="1"/>
    <col min="511" max="511" width="8.140625" customWidth="1"/>
    <col min="512" max="512" width="10.85546875" customWidth="1"/>
    <col min="513" max="513" width="38.85546875" customWidth="1"/>
    <col min="514" max="514" width="25.5703125" customWidth="1"/>
    <col min="518" max="518" width="44.85546875" customWidth="1"/>
    <col min="519" max="520" width="14.14062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140625" customWidth="1"/>
    <col min="766" max="766" width="13.140625" customWidth="1"/>
    <col min="767" max="767" width="8.140625" customWidth="1"/>
    <col min="768" max="768" width="10.85546875" customWidth="1"/>
    <col min="769" max="769" width="38.85546875" customWidth="1"/>
    <col min="770" max="770" width="25.5703125" customWidth="1"/>
    <col min="774" max="774" width="44.85546875" customWidth="1"/>
    <col min="775" max="776" width="14.14062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140625" customWidth="1"/>
    <col min="1022" max="1022" width="13.140625" customWidth="1"/>
    <col min="1023" max="1023" width="8.140625" customWidth="1"/>
    <col min="1024" max="1024" width="10.85546875" customWidth="1"/>
    <col min="1025" max="1025" width="38.85546875" customWidth="1"/>
    <col min="1026" max="1026" width="25.5703125" customWidth="1"/>
    <col min="1030" max="1030" width="44.85546875" customWidth="1"/>
    <col min="1031" max="1032" width="14.14062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140625" customWidth="1"/>
    <col min="1278" max="1278" width="13.140625" customWidth="1"/>
    <col min="1279" max="1279" width="8.140625" customWidth="1"/>
    <col min="1280" max="1280" width="10.85546875" customWidth="1"/>
    <col min="1281" max="1281" width="38.85546875" customWidth="1"/>
    <col min="1282" max="1282" width="25.5703125" customWidth="1"/>
    <col min="1286" max="1286" width="44.85546875" customWidth="1"/>
    <col min="1287" max="1288" width="14.14062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140625" customWidth="1"/>
    <col min="1534" max="1534" width="13.140625" customWidth="1"/>
    <col min="1535" max="1535" width="8.140625" customWidth="1"/>
    <col min="1536" max="1536" width="10.85546875" customWidth="1"/>
    <col min="1537" max="1537" width="38.85546875" customWidth="1"/>
    <col min="1538" max="1538" width="25.5703125" customWidth="1"/>
    <col min="1542" max="1542" width="44.85546875" customWidth="1"/>
    <col min="1543" max="1544" width="14.14062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140625" customWidth="1"/>
    <col min="1790" max="1790" width="13.140625" customWidth="1"/>
    <col min="1791" max="1791" width="8.140625" customWidth="1"/>
    <col min="1792" max="1792" width="10.85546875" customWidth="1"/>
    <col min="1793" max="1793" width="38.85546875" customWidth="1"/>
    <col min="1794" max="1794" width="25.5703125" customWidth="1"/>
    <col min="1798" max="1798" width="44.85546875" customWidth="1"/>
    <col min="1799" max="1800" width="14.14062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140625" customWidth="1"/>
    <col min="2046" max="2046" width="13.140625" customWidth="1"/>
    <col min="2047" max="2047" width="8.140625" customWidth="1"/>
    <col min="2048" max="2048" width="10.85546875" customWidth="1"/>
    <col min="2049" max="2049" width="38.85546875" customWidth="1"/>
    <col min="2050" max="2050" width="25.5703125" customWidth="1"/>
    <col min="2054" max="2054" width="44.85546875" customWidth="1"/>
    <col min="2055" max="2056" width="14.14062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140625" customWidth="1"/>
    <col min="2302" max="2302" width="13.140625" customWidth="1"/>
    <col min="2303" max="2303" width="8.140625" customWidth="1"/>
    <col min="2304" max="2304" width="10.85546875" customWidth="1"/>
    <col min="2305" max="2305" width="38.85546875" customWidth="1"/>
    <col min="2306" max="2306" width="25.5703125" customWidth="1"/>
    <col min="2310" max="2310" width="44.85546875" customWidth="1"/>
    <col min="2311" max="2312" width="14.14062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140625" customWidth="1"/>
    <col min="2558" max="2558" width="13.140625" customWidth="1"/>
    <col min="2559" max="2559" width="8.140625" customWidth="1"/>
    <col min="2560" max="2560" width="10.85546875" customWidth="1"/>
    <col min="2561" max="2561" width="38.85546875" customWidth="1"/>
    <col min="2562" max="2562" width="25.5703125" customWidth="1"/>
    <col min="2566" max="2566" width="44.85546875" customWidth="1"/>
    <col min="2567" max="2568" width="14.14062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140625" customWidth="1"/>
    <col min="2814" max="2814" width="13.140625" customWidth="1"/>
    <col min="2815" max="2815" width="8.140625" customWidth="1"/>
    <col min="2816" max="2816" width="10.85546875" customWidth="1"/>
    <col min="2817" max="2817" width="38.85546875" customWidth="1"/>
    <col min="2818" max="2818" width="25.5703125" customWidth="1"/>
    <col min="2822" max="2822" width="44.85546875" customWidth="1"/>
    <col min="2823" max="2824" width="14.14062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140625" customWidth="1"/>
    <col min="3070" max="3070" width="13.140625" customWidth="1"/>
    <col min="3071" max="3071" width="8.140625" customWidth="1"/>
    <col min="3072" max="3072" width="10.85546875" customWidth="1"/>
    <col min="3073" max="3073" width="38.85546875" customWidth="1"/>
    <col min="3074" max="3074" width="25.5703125" customWidth="1"/>
    <col min="3078" max="3078" width="44.85546875" customWidth="1"/>
    <col min="3079" max="3080" width="14.14062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140625" customWidth="1"/>
    <col min="3326" max="3326" width="13.140625" customWidth="1"/>
    <col min="3327" max="3327" width="8.140625" customWidth="1"/>
    <col min="3328" max="3328" width="10.85546875" customWidth="1"/>
    <col min="3329" max="3329" width="38.85546875" customWidth="1"/>
    <col min="3330" max="3330" width="25.5703125" customWidth="1"/>
    <col min="3334" max="3334" width="44.85546875" customWidth="1"/>
    <col min="3335" max="3336" width="14.14062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140625" customWidth="1"/>
    <col min="3582" max="3582" width="13.140625" customWidth="1"/>
    <col min="3583" max="3583" width="8.140625" customWidth="1"/>
    <col min="3584" max="3584" width="10.85546875" customWidth="1"/>
    <col min="3585" max="3585" width="38.85546875" customWidth="1"/>
    <col min="3586" max="3586" width="25.5703125" customWidth="1"/>
    <col min="3590" max="3590" width="44.85546875" customWidth="1"/>
    <col min="3591" max="3592" width="14.14062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140625" customWidth="1"/>
    <col min="3838" max="3838" width="13.140625" customWidth="1"/>
    <col min="3839" max="3839" width="8.140625" customWidth="1"/>
    <col min="3840" max="3840" width="10.85546875" customWidth="1"/>
    <col min="3841" max="3841" width="38.85546875" customWidth="1"/>
    <col min="3842" max="3842" width="25.5703125" customWidth="1"/>
    <col min="3846" max="3846" width="44.85546875" customWidth="1"/>
    <col min="3847" max="3848" width="14.14062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140625" customWidth="1"/>
    <col min="4094" max="4094" width="13.140625" customWidth="1"/>
    <col min="4095" max="4095" width="8.140625" customWidth="1"/>
    <col min="4096" max="4096" width="10.85546875" customWidth="1"/>
    <col min="4097" max="4097" width="38.85546875" customWidth="1"/>
    <col min="4098" max="4098" width="25.5703125" customWidth="1"/>
    <col min="4102" max="4102" width="44.85546875" customWidth="1"/>
    <col min="4103" max="4104" width="14.14062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140625" customWidth="1"/>
    <col min="4350" max="4350" width="13.140625" customWidth="1"/>
    <col min="4351" max="4351" width="8.140625" customWidth="1"/>
    <col min="4352" max="4352" width="10.85546875" customWidth="1"/>
    <col min="4353" max="4353" width="38.85546875" customWidth="1"/>
    <col min="4354" max="4354" width="25.5703125" customWidth="1"/>
    <col min="4358" max="4358" width="44.85546875" customWidth="1"/>
    <col min="4359" max="4360" width="14.14062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140625" customWidth="1"/>
    <col min="4606" max="4606" width="13.140625" customWidth="1"/>
    <col min="4607" max="4607" width="8.140625" customWidth="1"/>
    <col min="4608" max="4608" width="10.85546875" customWidth="1"/>
    <col min="4609" max="4609" width="38.85546875" customWidth="1"/>
    <col min="4610" max="4610" width="25.5703125" customWidth="1"/>
    <col min="4614" max="4614" width="44.85546875" customWidth="1"/>
    <col min="4615" max="4616" width="14.14062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140625" customWidth="1"/>
    <col min="4862" max="4862" width="13.140625" customWidth="1"/>
    <col min="4863" max="4863" width="8.140625" customWidth="1"/>
    <col min="4864" max="4864" width="10.85546875" customWidth="1"/>
    <col min="4865" max="4865" width="38.85546875" customWidth="1"/>
    <col min="4866" max="4866" width="25.5703125" customWidth="1"/>
    <col min="4870" max="4870" width="44.85546875" customWidth="1"/>
    <col min="4871" max="4872" width="14.14062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140625" customWidth="1"/>
    <col min="5118" max="5118" width="13.140625" customWidth="1"/>
    <col min="5119" max="5119" width="8.140625" customWidth="1"/>
    <col min="5120" max="5120" width="10.85546875" customWidth="1"/>
    <col min="5121" max="5121" width="38.85546875" customWidth="1"/>
    <col min="5122" max="5122" width="25.5703125" customWidth="1"/>
    <col min="5126" max="5126" width="44.85546875" customWidth="1"/>
    <col min="5127" max="5128" width="14.14062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140625" customWidth="1"/>
    <col min="5374" max="5374" width="13.140625" customWidth="1"/>
    <col min="5375" max="5375" width="8.140625" customWidth="1"/>
    <col min="5376" max="5376" width="10.85546875" customWidth="1"/>
    <col min="5377" max="5377" width="38.85546875" customWidth="1"/>
    <col min="5378" max="5378" width="25.5703125" customWidth="1"/>
    <col min="5382" max="5382" width="44.85546875" customWidth="1"/>
    <col min="5383" max="5384" width="14.14062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140625" customWidth="1"/>
    <col min="5630" max="5630" width="13.140625" customWidth="1"/>
    <col min="5631" max="5631" width="8.140625" customWidth="1"/>
    <col min="5632" max="5632" width="10.85546875" customWidth="1"/>
    <col min="5633" max="5633" width="38.85546875" customWidth="1"/>
    <col min="5634" max="5634" width="25.5703125" customWidth="1"/>
    <col min="5638" max="5638" width="44.85546875" customWidth="1"/>
    <col min="5639" max="5640" width="14.14062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140625" customWidth="1"/>
    <col min="5886" max="5886" width="13.140625" customWidth="1"/>
    <col min="5887" max="5887" width="8.140625" customWidth="1"/>
    <col min="5888" max="5888" width="10.85546875" customWidth="1"/>
    <col min="5889" max="5889" width="38.85546875" customWidth="1"/>
    <col min="5890" max="5890" width="25.5703125" customWidth="1"/>
    <col min="5894" max="5894" width="44.85546875" customWidth="1"/>
    <col min="5895" max="5896" width="14.14062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140625" customWidth="1"/>
    <col min="6142" max="6142" width="13.140625" customWidth="1"/>
    <col min="6143" max="6143" width="8.140625" customWidth="1"/>
    <col min="6144" max="6144" width="10.85546875" customWidth="1"/>
    <col min="6145" max="6145" width="38.85546875" customWidth="1"/>
    <col min="6146" max="6146" width="25.5703125" customWidth="1"/>
    <col min="6150" max="6150" width="44.85546875" customWidth="1"/>
    <col min="6151" max="6152" width="14.14062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140625" customWidth="1"/>
    <col min="6398" max="6398" width="13.140625" customWidth="1"/>
    <col min="6399" max="6399" width="8.140625" customWidth="1"/>
    <col min="6400" max="6400" width="10.85546875" customWidth="1"/>
    <col min="6401" max="6401" width="38.85546875" customWidth="1"/>
    <col min="6402" max="6402" width="25.5703125" customWidth="1"/>
    <col min="6406" max="6406" width="44.85546875" customWidth="1"/>
    <col min="6407" max="6408" width="14.14062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140625" customWidth="1"/>
    <col min="6654" max="6654" width="13.140625" customWidth="1"/>
    <col min="6655" max="6655" width="8.140625" customWidth="1"/>
    <col min="6656" max="6656" width="10.85546875" customWidth="1"/>
    <col min="6657" max="6657" width="38.85546875" customWidth="1"/>
    <col min="6658" max="6658" width="25.5703125" customWidth="1"/>
    <col min="6662" max="6662" width="44.85546875" customWidth="1"/>
    <col min="6663" max="6664" width="14.14062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140625" customWidth="1"/>
    <col min="6910" max="6910" width="13.140625" customWidth="1"/>
    <col min="6911" max="6911" width="8.140625" customWidth="1"/>
    <col min="6912" max="6912" width="10.85546875" customWidth="1"/>
    <col min="6913" max="6913" width="38.85546875" customWidth="1"/>
    <col min="6914" max="6914" width="25.5703125" customWidth="1"/>
    <col min="6918" max="6918" width="44.85546875" customWidth="1"/>
    <col min="6919" max="6920" width="14.14062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140625" customWidth="1"/>
    <col min="7166" max="7166" width="13.140625" customWidth="1"/>
    <col min="7167" max="7167" width="8.140625" customWidth="1"/>
    <col min="7168" max="7168" width="10.85546875" customWidth="1"/>
    <col min="7169" max="7169" width="38.85546875" customWidth="1"/>
    <col min="7170" max="7170" width="25.5703125" customWidth="1"/>
    <col min="7174" max="7174" width="44.85546875" customWidth="1"/>
    <col min="7175" max="7176" width="14.14062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140625" customWidth="1"/>
    <col min="7422" max="7422" width="13.140625" customWidth="1"/>
    <col min="7423" max="7423" width="8.140625" customWidth="1"/>
    <col min="7424" max="7424" width="10.85546875" customWidth="1"/>
    <col min="7425" max="7425" width="38.85546875" customWidth="1"/>
    <col min="7426" max="7426" width="25.5703125" customWidth="1"/>
    <col min="7430" max="7430" width="44.85546875" customWidth="1"/>
    <col min="7431" max="7432" width="14.14062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140625" customWidth="1"/>
    <col min="7678" max="7678" width="13.140625" customWidth="1"/>
    <col min="7679" max="7679" width="8.140625" customWidth="1"/>
    <col min="7680" max="7680" width="10.85546875" customWidth="1"/>
    <col min="7681" max="7681" width="38.85546875" customWidth="1"/>
    <col min="7682" max="7682" width="25.5703125" customWidth="1"/>
    <col min="7686" max="7686" width="44.85546875" customWidth="1"/>
    <col min="7687" max="7688" width="14.14062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140625" customWidth="1"/>
    <col min="7934" max="7934" width="13.140625" customWidth="1"/>
    <col min="7935" max="7935" width="8.140625" customWidth="1"/>
    <col min="7936" max="7936" width="10.85546875" customWidth="1"/>
    <col min="7937" max="7937" width="38.85546875" customWidth="1"/>
    <col min="7938" max="7938" width="25.5703125" customWidth="1"/>
    <col min="7942" max="7942" width="44.85546875" customWidth="1"/>
    <col min="7943" max="7944" width="14.14062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140625" customWidth="1"/>
    <col min="8190" max="8190" width="13.140625" customWidth="1"/>
    <col min="8191" max="8191" width="8.140625" customWidth="1"/>
    <col min="8192" max="8192" width="10.85546875" customWidth="1"/>
    <col min="8193" max="8193" width="38.85546875" customWidth="1"/>
    <col min="8194" max="8194" width="25.5703125" customWidth="1"/>
    <col min="8198" max="8198" width="44.85546875" customWidth="1"/>
    <col min="8199" max="8200" width="14.14062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140625" customWidth="1"/>
    <col min="8446" max="8446" width="13.140625" customWidth="1"/>
    <col min="8447" max="8447" width="8.140625" customWidth="1"/>
    <col min="8448" max="8448" width="10.85546875" customWidth="1"/>
    <col min="8449" max="8449" width="38.85546875" customWidth="1"/>
    <col min="8450" max="8450" width="25.5703125" customWidth="1"/>
    <col min="8454" max="8454" width="44.85546875" customWidth="1"/>
    <col min="8455" max="8456" width="14.14062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140625" customWidth="1"/>
    <col min="8702" max="8702" width="13.140625" customWidth="1"/>
    <col min="8703" max="8703" width="8.140625" customWidth="1"/>
    <col min="8704" max="8704" width="10.85546875" customWidth="1"/>
    <col min="8705" max="8705" width="38.85546875" customWidth="1"/>
    <col min="8706" max="8706" width="25.5703125" customWidth="1"/>
    <col min="8710" max="8710" width="44.85546875" customWidth="1"/>
    <col min="8711" max="8712" width="14.14062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140625" customWidth="1"/>
    <col min="8958" max="8958" width="13.140625" customWidth="1"/>
    <col min="8959" max="8959" width="8.140625" customWidth="1"/>
    <col min="8960" max="8960" width="10.85546875" customWidth="1"/>
    <col min="8961" max="8961" width="38.85546875" customWidth="1"/>
    <col min="8962" max="8962" width="25.5703125" customWidth="1"/>
    <col min="8966" max="8966" width="44.85546875" customWidth="1"/>
    <col min="8967" max="8968" width="14.14062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140625" customWidth="1"/>
    <col min="9214" max="9214" width="13.140625" customWidth="1"/>
    <col min="9215" max="9215" width="8.140625" customWidth="1"/>
    <col min="9216" max="9216" width="10.85546875" customWidth="1"/>
    <col min="9217" max="9217" width="38.85546875" customWidth="1"/>
    <col min="9218" max="9218" width="25.5703125" customWidth="1"/>
    <col min="9222" max="9222" width="44.85546875" customWidth="1"/>
    <col min="9223" max="9224" width="14.14062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140625" customWidth="1"/>
    <col min="9470" max="9470" width="13.140625" customWidth="1"/>
    <col min="9471" max="9471" width="8.140625" customWidth="1"/>
    <col min="9472" max="9472" width="10.85546875" customWidth="1"/>
    <col min="9473" max="9473" width="38.85546875" customWidth="1"/>
    <col min="9474" max="9474" width="25.5703125" customWidth="1"/>
    <col min="9478" max="9478" width="44.85546875" customWidth="1"/>
    <col min="9479" max="9480" width="14.14062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140625" customWidth="1"/>
    <col min="9726" max="9726" width="13.140625" customWidth="1"/>
    <col min="9727" max="9727" width="8.140625" customWidth="1"/>
    <col min="9728" max="9728" width="10.85546875" customWidth="1"/>
    <col min="9729" max="9729" width="38.85546875" customWidth="1"/>
    <col min="9730" max="9730" width="25.5703125" customWidth="1"/>
    <col min="9734" max="9734" width="44.85546875" customWidth="1"/>
    <col min="9735" max="9736" width="14.14062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140625" customWidth="1"/>
    <col min="9982" max="9982" width="13.140625" customWidth="1"/>
    <col min="9983" max="9983" width="8.140625" customWidth="1"/>
    <col min="9984" max="9984" width="10.85546875" customWidth="1"/>
    <col min="9985" max="9985" width="38.85546875" customWidth="1"/>
    <col min="9986" max="9986" width="25.5703125" customWidth="1"/>
    <col min="9990" max="9990" width="44.85546875" customWidth="1"/>
    <col min="9991" max="9992" width="14.14062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140625" customWidth="1"/>
    <col min="10238" max="10238" width="13.1406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8" width="14.14062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140625" customWidth="1"/>
    <col min="10494" max="10494" width="13.1406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4" width="14.14062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140625" customWidth="1"/>
    <col min="10750" max="10750" width="13.1406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60" width="14.14062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140625" customWidth="1"/>
    <col min="11006" max="11006" width="13.1406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6" width="14.14062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140625" customWidth="1"/>
    <col min="11262" max="11262" width="13.1406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2" width="14.14062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140625" customWidth="1"/>
    <col min="11518" max="11518" width="13.1406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8" width="14.14062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140625" customWidth="1"/>
    <col min="11774" max="11774" width="13.1406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4" width="14.14062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140625" customWidth="1"/>
    <col min="12030" max="12030" width="13.1406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40" width="14.14062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140625" customWidth="1"/>
    <col min="12286" max="12286" width="13.1406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6" width="14.14062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140625" customWidth="1"/>
    <col min="12542" max="12542" width="13.1406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2" width="14.14062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140625" customWidth="1"/>
    <col min="12798" max="12798" width="13.1406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8" width="14.14062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140625" customWidth="1"/>
    <col min="13054" max="13054" width="13.1406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4" width="14.14062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140625" customWidth="1"/>
    <col min="13310" max="13310" width="13.1406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20" width="14.14062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140625" customWidth="1"/>
    <col min="13566" max="13566" width="13.1406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6" width="14.14062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140625" customWidth="1"/>
    <col min="13822" max="13822" width="13.1406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2" width="14.14062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140625" customWidth="1"/>
    <col min="14078" max="14078" width="13.1406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8" width="14.14062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140625" customWidth="1"/>
    <col min="14334" max="14334" width="13.1406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4" width="14.14062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140625" customWidth="1"/>
    <col min="14590" max="14590" width="13.1406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600" width="14.14062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140625" customWidth="1"/>
    <col min="14846" max="14846" width="13.1406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6" width="14.14062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140625" customWidth="1"/>
    <col min="15102" max="15102" width="13.1406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2" width="14.14062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140625" customWidth="1"/>
    <col min="15358" max="15358" width="13.1406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8" width="14.14062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140625" customWidth="1"/>
    <col min="15614" max="15614" width="13.1406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4" width="14.14062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140625" customWidth="1"/>
    <col min="15870" max="15870" width="13.1406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80" width="14.14062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140625" customWidth="1"/>
    <col min="16126" max="16126" width="13.1406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6" width="14.14062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1" spans="2:36" ht="24.75" customHeight="1" x14ac:dyDescent="0.25"/>
    <row r="2" spans="2:36" s="7" customFormat="1" ht="24.75" customHeight="1" thickBot="1" x14ac:dyDescent="0.3">
      <c r="B2" s="287" t="s">
        <v>721</v>
      </c>
      <c r="C2" s="287"/>
      <c r="D2" s="287"/>
      <c r="E2" s="287"/>
      <c r="F2" s="287"/>
      <c r="G2" s="287"/>
      <c r="H2" s="287"/>
      <c r="I2" s="287"/>
      <c r="J2" s="287"/>
      <c r="K2" s="287"/>
      <c r="L2" s="296"/>
      <c r="M2" s="296"/>
      <c r="N2" s="296"/>
      <c r="O2" s="296"/>
      <c r="P2" s="296"/>
      <c r="Q2" s="296"/>
      <c r="R2" s="296"/>
      <c r="S2" s="8"/>
      <c r="T2" s="8"/>
      <c r="U2" s="8"/>
      <c r="V2" s="8"/>
      <c r="W2" s="8"/>
      <c r="X2" s="8"/>
      <c r="Y2" s="8"/>
      <c r="Z2" s="8"/>
      <c r="AA2" s="8"/>
      <c r="AB2" s="8"/>
      <c r="AC2" s="8"/>
      <c r="AD2" s="8"/>
      <c r="AE2" s="8"/>
      <c r="AF2" s="8"/>
      <c r="AG2" s="8"/>
      <c r="AH2" s="8"/>
      <c r="AI2" s="8"/>
      <c r="AJ2" s="8"/>
    </row>
    <row r="3" spans="2:36" s="7" customFormat="1" ht="32.25" customHeight="1" thickBot="1" x14ac:dyDescent="0.3">
      <c r="B3" s="89"/>
      <c r="C3" s="89"/>
      <c r="D3" s="89"/>
      <c r="E3" s="262"/>
      <c r="F3" s="262"/>
      <c r="G3" s="262"/>
      <c r="H3" s="89"/>
      <c r="I3" s="89"/>
      <c r="J3" s="89"/>
      <c r="K3" s="150"/>
      <c r="L3" s="302" t="s">
        <v>310</v>
      </c>
      <c r="M3" s="303"/>
      <c r="N3" s="304"/>
      <c r="O3" s="139" t="s">
        <v>317</v>
      </c>
      <c r="P3" s="291" t="s">
        <v>318</v>
      </c>
      <c r="Q3" s="291"/>
      <c r="R3" s="292"/>
      <c r="S3" s="8"/>
      <c r="T3" s="8"/>
      <c r="U3" s="8"/>
      <c r="V3" s="8"/>
      <c r="W3" s="8"/>
      <c r="X3" s="8"/>
      <c r="Y3" s="8"/>
      <c r="Z3" s="8"/>
      <c r="AA3" s="8"/>
      <c r="AB3" s="8"/>
      <c r="AC3" s="8"/>
      <c r="AD3" s="8"/>
      <c r="AE3" s="8"/>
      <c r="AF3" s="8"/>
      <c r="AG3" s="8"/>
      <c r="AH3" s="8"/>
      <c r="AI3" s="8"/>
      <c r="AJ3" s="8"/>
    </row>
    <row r="4" spans="2:36" ht="38.25" customHeight="1" thickBot="1" x14ac:dyDescent="0.3">
      <c r="B4" s="110" t="s">
        <v>0</v>
      </c>
      <c r="C4" s="217" t="s">
        <v>466</v>
      </c>
      <c r="D4" s="111" t="s">
        <v>1</v>
      </c>
      <c r="E4" s="264" t="s">
        <v>463</v>
      </c>
      <c r="F4" s="218" t="s">
        <v>465</v>
      </c>
      <c r="G4" s="215" t="s">
        <v>677</v>
      </c>
      <c r="H4" s="111" t="s">
        <v>2</v>
      </c>
      <c r="I4" s="300" t="s">
        <v>3</v>
      </c>
      <c r="J4" s="298"/>
      <c r="K4" s="301"/>
      <c r="L4" s="112" t="s">
        <v>311</v>
      </c>
      <c r="M4" s="113" t="s">
        <v>312</v>
      </c>
      <c r="N4" s="113" t="s">
        <v>313</v>
      </c>
      <c r="O4" s="114" t="s">
        <v>311</v>
      </c>
      <c r="P4" s="115" t="s">
        <v>4</v>
      </c>
      <c r="Q4" s="116" t="s">
        <v>5</v>
      </c>
      <c r="R4" s="117" t="s">
        <v>6</v>
      </c>
    </row>
    <row r="5" spans="2:36" s="17" customFormat="1" ht="12.75" customHeight="1" x14ac:dyDescent="0.2">
      <c r="B5" s="118">
        <v>1</v>
      </c>
      <c r="C5" s="119" t="s">
        <v>433</v>
      </c>
      <c r="D5" s="122" t="s">
        <v>256</v>
      </c>
      <c r="E5" s="122" t="s">
        <v>478</v>
      </c>
      <c r="F5" s="129" t="s">
        <v>637</v>
      </c>
      <c r="G5" s="120" t="str">
        <f>UPPER(F5)</f>
        <v>REUNIÃO DO CONSELHO DIRETOR</v>
      </c>
      <c r="H5" s="120" t="s">
        <v>24</v>
      </c>
      <c r="I5" s="121">
        <v>43435</v>
      </c>
      <c r="J5" s="134">
        <v>17</v>
      </c>
      <c r="K5" s="153">
        <v>17</v>
      </c>
      <c r="L5" s="148">
        <v>0</v>
      </c>
      <c r="M5" s="148">
        <v>0</v>
      </c>
      <c r="N5" s="148">
        <v>0</v>
      </c>
      <c r="O5" s="151">
        <v>0</v>
      </c>
      <c r="P5" s="125">
        <v>1215.3699999999999</v>
      </c>
      <c r="Q5" s="126">
        <v>0</v>
      </c>
      <c r="R5" s="127">
        <f t="shared" ref="R5:R24" si="0">L5+M5+N5+O5+P5+Q5</f>
        <v>1215.3699999999999</v>
      </c>
      <c r="S5" s="16"/>
      <c r="T5" s="16"/>
      <c r="U5" s="16"/>
      <c r="V5" s="16"/>
    </row>
    <row r="6" spans="2:36" s="17" customFormat="1" ht="12.75" customHeight="1" x14ac:dyDescent="0.2">
      <c r="B6" s="99">
        <v>2</v>
      </c>
      <c r="C6" s="56" t="s">
        <v>434</v>
      </c>
      <c r="D6" s="10" t="s">
        <v>392</v>
      </c>
      <c r="E6" s="10" t="s">
        <v>478</v>
      </c>
      <c r="F6" s="19" t="s">
        <v>637</v>
      </c>
      <c r="G6" s="9" t="str">
        <f>UPPER(F6)</f>
        <v>REUNIÃO DO CONSELHO DIRETOR</v>
      </c>
      <c r="H6" s="9" t="s">
        <v>24</v>
      </c>
      <c r="I6" s="18">
        <v>43435</v>
      </c>
      <c r="J6" s="62">
        <v>17</v>
      </c>
      <c r="K6" s="152">
        <v>17</v>
      </c>
      <c r="L6" s="58">
        <v>0</v>
      </c>
      <c r="M6" s="58">
        <v>0</v>
      </c>
      <c r="N6" s="58">
        <v>0</v>
      </c>
      <c r="O6" s="12">
        <v>0</v>
      </c>
      <c r="P6" s="14">
        <f>652.98+1430.39</f>
        <v>2083.37</v>
      </c>
      <c r="Q6" s="15">
        <v>0</v>
      </c>
      <c r="R6" s="98">
        <f t="shared" si="0"/>
        <v>2083.37</v>
      </c>
      <c r="S6" s="16"/>
      <c r="T6" s="16"/>
      <c r="U6" s="16"/>
      <c r="V6" s="16"/>
    </row>
    <row r="7" spans="2:36" s="17" customFormat="1" ht="12.75" customHeight="1" x14ac:dyDescent="0.2">
      <c r="B7" s="99">
        <v>3</v>
      </c>
      <c r="C7" s="57" t="s">
        <v>435</v>
      </c>
      <c r="D7" s="10" t="s">
        <v>393</v>
      </c>
      <c r="E7" s="10" t="s">
        <v>478</v>
      </c>
      <c r="F7" s="19" t="s">
        <v>637</v>
      </c>
      <c r="G7" s="9" t="str">
        <f t="shared" ref="G7:G24" si="1">UPPER(F7)</f>
        <v>REUNIÃO DO CONSELHO DIRETOR</v>
      </c>
      <c r="H7" s="9" t="s">
        <v>24</v>
      </c>
      <c r="I7" s="18">
        <v>43435</v>
      </c>
      <c r="J7" s="62">
        <v>17</v>
      </c>
      <c r="K7" s="152">
        <v>17</v>
      </c>
      <c r="L7" s="58">
        <v>0</v>
      </c>
      <c r="M7" s="58">
        <v>0</v>
      </c>
      <c r="N7" s="58"/>
      <c r="O7" s="12">
        <v>0</v>
      </c>
      <c r="P7" s="14">
        <v>2862.37</v>
      </c>
      <c r="Q7" s="15">
        <v>0</v>
      </c>
      <c r="R7" s="98">
        <f t="shared" si="0"/>
        <v>2862.37</v>
      </c>
      <c r="S7" s="16"/>
      <c r="T7" s="16"/>
      <c r="U7" s="16"/>
      <c r="V7" s="16"/>
    </row>
    <row r="8" spans="2:36" s="17" customFormat="1" ht="12.75" customHeight="1" x14ac:dyDescent="0.2">
      <c r="B8" s="99">
        <v>4</v>
      </c>
      <c r="C8" s="57" t="s">
        <v>436</v>
      </c>
      <c r="D8" s="10" t="s">
        <v>17</v>
      </c>
      <c r="E8" s="10" t="s">
        <v>478</v>
      </c>
      <c r="F8" s="19" t="s">
        <v>637</v>
      </c>
      <c r="G8" s="9" t="str">
        <f t="shared" si="1"/>
        <v>REUNIÃO DO CONSELHO DIRETOR</v>
      </c>
      <c r="H8" s="9" t="s">
        <v>18</v>
      </c>
      <c r="I8" s="18">
        <v>43435</v>
      </c>
      <c r="J8" s="62">
        <v>17</v>
      </c>
      <c r="K8" s="152">
        <v>17</v>
      </c>
      <c r="L8" s="58">
        <v>0</v>
      </c>
      <c r="M8" s="58">
        <v>0</v>
      </c>
      <c r="N8" s="58"/>
      <c r="O8" s="12">
        <v>0</v>
      </c>
      <c r="P8" s="14">
        <f>960.05+519.98</f>
        <v>1480.03</v>
      </c>
      <c r="Q8" s="15">
        <v>0</v>
      </c>
      <c r="R8" s="98">
        <f t="shared" si="0"/>
        <v>1480.03</v>
      </c>
      <c r="S8" s="16"/>
      <c r="T8" s="16"/>
      <c r="U8" s="16"/>
      <c r="V8" s="16"/>
    </row>
    <row r="9" spans="2:36" s="17" customFormat="1" ht="25.5" customHeight="1" x14ac:dyDescent="0.2">
      <c r="B9" s="99">
        <v>5</v>
      </c>
      <c r="C9" s="56" t="s">
        <v>437</v>
      </c>
      <c r="D9" s="10" t="s">
        <v>230</v>
      </c>
      <c r="E9" s="216" t="s">
        <v>646</v>
      </c>
      <c r="F9" s="274" t="s">
        <v>722</v>
      </c>
      <c r="G9" s="9" t="str">
        <f t="shared" si="1"/>
        <v>MINISTRAR TREINAMENTO AGHUSE FAB - PROJETO AGHUSE - MÓDULO CIRURGIA</v>
      </c>
      <c r="H9" s="9" t="s">
        <v>161</v>
      </c>
      <c r="I9" s="18">
        <v>43435</v>
      </c>
      <c r="J9" s="10">
        <v>2</v>
      </c>
      <c r="K9" s="11">
        <v>3</v>
      </c>
      <c r="L9" s="58">
        <v>98.09</v>
      </c>
      <c r="M9" s="58">
        <v>37</v>
      </c>
      <c r="N9" s="58"/>
      <c r="O9" s="12">
        <v>61.1</v>
      </c>
      <c r="P9" s="14">
        <f>922.98+691.17</f>
        <v>1614.15</v>
      </c>
      <c r="Q9" s="15">
        <f>335.13+75.9</f>
        <v>411.03</v>
      </c>
      <c r="R9" s="98">
        <f t="shared" si="0"/>
        <v>2221.37</v>
      </c>
      <c r="S9" s="16"/>
      <c r="T9" s="16"/>
      <c r="U9" s="16"/>
      <c r="V9" s="16"/>
    </row>
    <row r="10" spans="2:36" s="17" customFormat="1" ht="24.75" customHeight="1" x14ac:dyDescent="0.2">
      <c r="B10" s="99">
        <v>6</v>
      </c>
      <c r="C10" s="56" t="s">
        <v>438</v>
      </c>
      <c r="D10" s="10" t="s">
        <v>276</v>
      </c>
      <c r="E10" s="285" t="s">
        <v>693</v>
      </c>
      <c r="F10" s="283" t="s">
        <v>723</v>
      </c>
      <c r="G10" s="9" t="str">
        <f t="shared" si="1"/>
        <v>MINISTRAR TREINAMENTO AGHUSE - MÓDULO CIRURGIA ASSISTENCIAL</v>
      </c>
      <c r="H10" s="9" t="s">
        <v>161</v>
      </c>
      <c r="I10" s="18">
        <v>43435</v>
      </c>
      <c r="J10" s="10">
        <v>4</v>
      </c>
      <c r="K10" s="11">
        <v>5</v>
      </c>
      <c r="L10" s="58">
        <v>178.89</v>
      </c>
      <c r="M10" s="58"/>
      <c r="N10" s="58"/>
      <c r="O10" s="12">
        <v>0</v>
      </c>
      <c r="P10" s="14">
        <f>833.98+933.17</f>
        <v>1767.15</v>
      </c>
      <c r="Q10" s="15">
        <f>335.13+88.55</f>
        <v>423.68</v>
      </c>
      <c r="R10" s="98">
        <f t="shared" si="0"/>
        <v>2369.7199999999998</v>
      </c>
      <c r="S10" s="16"/>
      <c r="T10" s="16"/>
      <c r="U10" s="16"/>
      <c r="V10" s="16"/>
    </row>
    <row r="11" spans="2:36" s="17" customFormat="1" ht="35.25" customHeight="1" x14ac:dyDescent="0.2">
      <c r="B11" s="99">
        <v>7</v>
      </c>
      <c r="C11" s="56" t="s">
        <v>439</v>
      </c>
      <c r="D11" s="10" t="s">
        <v>62</v>
      </c>
      <c r="E11" s="216" t="s">
        <v>503</v>
      </c>
      <c r="F11" s="274" t="s">
        <v>724</v>
      </c>
      <c r="G11" s="9" t="str">
        <f t="shared" si="1"/>
        <v>APRESENTAÇÃO DO PROJETO CITI PARA POTENCIAIS INVESTIDORES NA  VIII SEMANA DE INFRAESTRUTURA DA INTERNET NO BRASIL</v>
      </c>
      <c r="H11" s="9" t="s">
        <v>53</v>
      </c>
      <c r="I11" s="18">
        <v>43435</v>
      </c>
      <c r="J11" s="10">
        <v>11</v>
      </c>
      <c r="K11" s="11">
        <v>13</v>
      </c>
      <c r="L11" s="58">
        <v>251.09</v>
      </c>
      <c r="M11" s="58">
        <v>193</v>
      </c>
      <c r="N11" s="58"/>
      <c r="O11" s="54">
        <v>74.05</v>
      </c>
      <c r="P11" s="14">
        <v>1230.1500000000001</v>
      </c>
      <c r="Q11" s="15">
        <f>764.4+132.12</f>
        <v>896.52</v>
      </c>
      <c r="R11" s="98">
        <f t="shared" si="0"/>
        <v>2644.81</v>
      </c>
      <c r="S11" s="16"/>
      <c r="T11" s="16"/>
      <c r="U11" s="16"/>
      <c r="V11" s="16"/>
    </row>
    <row r="12" spans="2:36" s="17" customFormat="1" ht="26.25" customHeight="1" x14ac:dyDescent="0.2">
      <c r="B12" s="99">
        <v>8</v>
      </c>
      <c r="C12" s="56" t="s">
        <v>440</v>
      </c>
      <c r="D12" s="10" t="s">
        <v>441</v>
      </c>
      <c r="E12" s="216" t="s">
        <v>732</v>
      </c>
      <c r="F12" s="214" t="s">
        <v>725</v>
      </c>
      <c r="G12" s="9" t="str">
        <f t="shared" si="1"/>
        <v>VISITA INSTITUCIONAL NO INOVAINCOR (SP) E ERETZ.BIO (SP)</v>
      </c>
      <c r="H12" s="9" t="s">
        <v>53</v>
      </c>
      <c r="I12" s="18">
        <v>43435</v>
      </c>
      <c r="J12" s="10">
        <v>12</v>
      </c>
      <c r="K12" s="11">
        <v>13</v>
      </c>
      <c r="L12" s="58">
        <v>34.4</v>
      </c>
      <c r="M12" s="58">
        <v>96</v>
      </c>
      <c r="N12" s="58"/>
      <c r="O12" s="12">
        <v>0</v>
      </c>
      <c r="P12" s="14">
        <v>1088.1500000000001</v>
      </c>
      <c r="Q12" s="15">
        <f>320.25+117.82</f>
        <v>438.07</v>
      </c>
      <c r="R12" s="98">
        <f t="shared" si="0"/>
        <v>1656.6200000000001</v>
      </c>
      <c r="S12" s="16"/>
      <c r="T12" s="16"/>
      <c r="U12" s="16"/>
      <c r="V12" s="16"/>
    </row>
    <row r="13" spans="2:36" s="17" customFormat="1" ht="24.75" customHeight="1" x14ac:dyDescent="0.2">
      <c r="B13" s="99">
        <v>9</v>
      </c>
      <c r="C13" s="56" t="s">
        <v>442</v>
      </c>
      <c r="D13" s="10" t="s">
        <v>74</v>
      </c>
      <c r="E13" s="216" t="s">
        <v>586</v>
      </c>
      <c r="F13" s="214" t="s">
        <v>725</v>
      </c>
      <c r="G13" s="9" t="str">
        <f t="shared" si="1"/>
        <v>VISITA INSTITUCIONAL NO INOVAINCOR (SP) E ERETZ.BIO (SP)</v>
      </c>
      <c r="H13" s="9" t="s">
        <v>53</v>
      </c>
      <c r="I13" s="18">
        <v>43435</v>
      </c>
      <c r="J13" s="10">
        <v>12</v>
      </c>
      <c r="K13" s="11">
        <v>13</v>
      </c>
      <c r="L13" s="58">
        <v>50.1</v>
      </c>
      <c r="M13" s="58">
        <v>143.04</v>
      </c>
      <c r="N13" s="58"/>
      <c r="O13" s="12">
        <v>60</v>
      </c>
      <c r="P13" s="14">
        <v>1088.1500000000001</v>
      </c>
      <c r="Q13" s="15">
        <f>320.25+143.27</f>
        <v>463.52</v>
      </c>
      <c r="R13" s="98">
        <f t="shared" si="0"/>
        <v>1804.81</v>
      </c>
      <c r="S13" s="16"/>
      <c r="T13" s="16"/>
      <c r="U13" s="16"/>
      <c r="V13" s="16"/>
    </row>
    <row r="14" spans="2:36" s="17" customFormat="1" ht="24.75" customHeight="1" x14ac:dyDescent="0.2">
      <c r="B14" s="99">
        <v>10</v>
      </c>
      <c r="C14" s="56" t="s">
        <v>443</v>
      </c>
      <c r="D14" s="10" t="s">
        <v>444</v>
      </c>
      <c r="E14" s="216" t="s">
        <v>570</v>
      </c>
      <c r="F14" s="214" t="s">
        <v>726</v>
      </c>
      <c r="G14" s="9" t="str">
        <f t="shared" si="1"/>
        <v>VISITAR DUAS INSTITUIÇÕES EM SÃO PAULO: INOVAINCOR  E ERETZ.BIO.</v>
      </c>
      <c r="H14" s="9" t="s">
        <v>53</v>
      </c>
      <c r="I14" s="18">
        <v>43435</v>
      </c>
      <c r="J14" s="10">
        <v>12</v>
      </c>
      <c r="K14" s="11">
        <v>13</v>
      </c>
      <c r="L14" s="58">
        <v>111.58</v>
      </c>
      <c r="M14" s="58">
        <v>104</v>
      </c>
      <c r="N14" s="58"/>
      <c r="O14" s="12">
        <v>0</v>
      </c>
      <c r="P14" s="14">
        <v>1088.1500000000001</v>
      </c>
      <c r="Q14" s="15">
        <f>320.25+138.98</f>
        <v>459.23</v>
      </c>
      <c r="R14" s="98">
        <f t="shared" si="0"/>
        <v>1762.96</v>
      </c>
      <c r="S14" s="16"/>
      <c r="T14" s="16"/>
      <c r="U14" s="16"/>
      <c r="V14" s="16"/>
    </row>
    <row r="15" spans="2:36" s="17" customFormat="1" ht="23.25" customHeight="1" x14ac:dyDescent="0.2">
      <c r="B15" s="99">
        <v>11</v>
      </c>
      <c r="C15" s="56" t="s">
        <v>445</v>
      </c>
      <c r="D15" s="10" t="s">
        <v>446</v>
      </c>
      <c r="E15" s="216" t="s">
        <v>733</v>
      </c>
      <c r="F15" s="286" t="s">
        <v>727</v>
      </c>
      <c r="G15" s="9" t="str">
        <f t="shared" si="1"/>
        <v>PARTICIPAR DA INAUGURAÇÃO DA 1A. FÁBRICA DE ACELERADORES LINEARES DA AMÉRICA LATINA</v>
      </c>
      <c r="H15" s="9" t="s">
        <v>447</v>
      </c>
      <c r="I15" s="18">
        <v>43435</v>
      </c>
      <c r="J15" s="10">
        <v>13</v>
      </c>
      <c r="K15" s="11">
        <v>13</v>
      </c>
      <c r="L15" s="58">
        <v>0</v>
      </c>
      <c r="M15" s="58">
        <v>0</v>
      </c>
      <c r="N15" s="58"/>
      <c r="O15" s="12">
        <v>0</v>
      </c>
      <c r="P15" s="14">
        <v>1278.18</v>
      </c>
      <c r="Q15" s="15">
        <v>0</v>
      </c>
      <c r="R15" s="98">
        <f t="shared" si="0"/>
        <v>1278.18</v>
      </c>
      <c r="S15" s="16"/>
      <c r="T15" s="16"/>
      <c r="U15" s="16"/>
      <c r="V15" s="16"/>
    </row>
    <row r="16" spans="2:36" s="17" customFormat="1" ht="23.25" customHeight="1" x14ac:dyDescent="0.2">
      <c r="B16" s="99">
        <v>12</v>
      </c>
      <c r="C16" s="56" t="s">
        <v>448</v>
      </c>
      <c r="D16" s="10" t="s">
        <v>15</v>
      </c>
      <c r="E16" s="9" t="s">
        <v>477</v>
      </c>
      <c r="F16" s="193" t="s">
        <v>728</v>
      </c>
      <c r="G16" s="9" t="str">
        <f t="shared" si="1"/>
        <v>REUNIÃO NA SPU - SUPERINTENDÊNCIA DO PATRIMÔNIO DA UNIÃO.</v>
      </c>
      <c r="H16" s="9" t="s">
        <v>9</v>
      </c>
      <c r="I16" s="18">
        <v>43436</v>
      </c>
      <c r="J16" s="10">
        <v>5</v>
      </c>
      <c r="K16" s="11">
        <v>5</v>
      </c>
      <c r="L16" s="58">
        <v>35</v>
      </c>
      <c r="M16" s="58">
        <v>0</v>
      </c>
      <c r="N16" s="58"/>
      <c r="O16" s="12">
        <f>30+46+13+65</f>
        <v>154</v>
      </c>
      <c r="P16" s="14">
        <f>1031.98+595.39</f>
        <v>1627.37</v>
      </c>
      <c r="Q16" s="15">
        <f>391.6+68.2</f>
        <v>459.8</v>
      </c>
      <c r="R16" s="98">
        <f t="shared" si="0"/>
        <v>2276.17</v>
      </c>
      <c r="S16" s="16"/>
      <c r="T16" s="16"/>
      <c r="U16" s="16"/>
      <c r="V16" s="16"/>
    </row>
    <row r="17" spans="2:22" s="17" customFormat="1" ht="25.5" customHeight="1" x14ac:dyDescent="0.2">
      <c r="B17" s="99">
        <v>13</v>
      </c>
      <c r="C17" s="56" t="s">
        <v>449</v>
      </c>
      <c r="D17" s="10" t="s">
        <v>450</v>
      </c>
      <c r="E17" s="216" t="s">
        <v>734</v>
      </c>
      <c r="F17" s="214" t="s">
        <v>729</v>
      </c>
      <c r="G17" s="9" t="str">
        <f t="shared" si="1"/>
        <v>PARTICIPAÇÃO NO XI SEMINÁRIO HOSPITAIS SAUDÁVEIS 2018</v>
      </c>
      <c r="H17" s="9" t="s">
        <v>451</v>
      </c>
      <c r="I17" s="18">
        <v>43435</v>
      </c>
      <c r="J17" s="10">
        <v>4</v>
      </c>
      <c r="K17" s="11">
        <v>6</v>
      </c>
      <c r="L17" s="58">
        <v>30.39</v>
      </c>
      <c r="M17" s="58">
        <v>288.8</v>
      </c>
      <c r="N17" s="58"/>
      <c r="O17" s="12">
        <v>0</v>
      </c>
      <c r="P17" s="14">
        <v>1371.15</v>
      </c>
      <c r="Q17" s="15">
        <f>1071+21</f>
        <v>1092</v>
      </c>
      <c r="R17" s="98">
        <f t="shared" si="0"/>
        <v>2782.34</v>
      </c>
      <c r="S17" s="16"/>
      <c r="T17" s="16"/>
      <c r="U17" s="16"/>
      <c r="V17" s="16"/>
    </row>
    <row r="18" spans="2:22" s="17" customFormat="1" ht="24" customHeight="1" x14ac:dyDescent="0.2">
      <c r="B18" s="99">
        <v>14</v>
      </c>
      <c r="C18" s="56" t="s">
        <v>452</v>
      </c>
      <c r="D18" s="10" t="s">
        <v>52</v>
      </c>
      <c r="E18" s="216" t="s">
        <v>498</v>
      </c>
      <c r="F18" s="214" t="s">
        <v>729</v>
      </c>
      <c r="G18" s="9" t="str">
        <f t="shared" si="1"/>
        <v>PARTICIPAÇÃO NO XI SEMINÁRIO HOSPITAIS SAUDÁVEIS 2018</v>
      </c>
      <c r="H18" s="9" t="s">
        <v>451</v>
      </c>
      <c r="I18" s="18">
        <v>43435</v>
      </c>
      <c r="J18" s="10">
        <v>4</v>
      </c>
      <c r="K18" s="11">
        <v>6</v>
      </c>
      <c r="L18" s="58">
        <v>91.13</v>
      </c>
      <c r="M18" s="58">
        <v>220.46</v>
      </c>
      <c r="N18" s="58"/>
      <c r="O18" s="12">
        <v>0</v>
      </c>
      <c r="P18" s="14">
        <v>1549.15</v>
      </c>
      <c r="Q18" s="15">
        <f>1071+58.2</f>
        <v>1129.2</v>
      </c>
      <c r="R18" s="98">
        <f t="shared" si="0"/>
        <v>2989.9400000000005</v>
      </c>
      <c r="S18" s="16"/>
      <c r="T18" s="16"/>
      <c r="U18" s="16"/>
      <c r="V18" s="16"/>
    </row>
    <row r="19" spans="2:22" s="17" customFormat="1" ht="23.25" customHeight="1" x14ac:dyDescent="0.2">
      <c r="B19" s="99">
        <v>15</v>
      </c>
      <c r="C19" s="56" t="s">
        <v>453</v>
      </c>
      <c r="D19" s="10" t="s">
        <v>454</v>
      </c>
      <c r="E19" s="216" t="s">
        <v>735</v>
      </c>
      <c r="F19" s="214" t="s">
        <v>725</v>
      </c>
      <c r="G19" s="9" t="str">
        <f t="shared" si="1"/>
        <v>VISITA INSTITUCIONAL NO INOVAINCOR (SP) E ERETZ.BIO (SP)</v>
      </c>
      <c r="H19" s="9" t="s">
        <v>53</v>
      </c>
      <c r="I19" s="18">
        <v>43435</v>
      </c>
      <c r="J19" s="10">
        <v>12</v>
      </c>
      <c r="K19" s="11">
        <v>14</v>
      </c>
      <c r="L19" s="58">
        <v>0</v>
      </c>
      <c r="M19" s="58">
        <v>0</v>
      </c>
      <c r="N19" s="58"/>
      <c r="O19" s="12">
        <v>0</v>
      </c>
      <c r="P19" s="14">
        <v>1230.1500000000001</v>
      </c>
      <c r="Q19" s="15">
        <f>320.25+56.06</f>
        <v>376.31</v>
      </c>
      <c r="R19" s="98">
        <f t="shared" si="0"/>
        <v>1606.46</v>
      </c>
      <c r="S19" s="16"/>
      <c r="T19" s="16"/>
      <c r="U19" s="16"/>
      <c r="V19" s="16"/>
    </row>
    <row r="20" spans="2:22" s="17" customFormat="1" ht="15.75" customHeight="1" x14ac:dyDescent="0.2">
      <c r="B20" s="99">
        <v>16</v>
      </c>
      <c r="C20" s="56" t="s">
        <v>455</v>
      </c>
      <c r="D20" s="10" t="s">
        <v>459</v>
      </c>
      <c r="E20" s="216" t="s">
        <v>509</v>
      </c>
      <c r="F20" s="214" t="s">
        <v>730</v>
      </c>
      <c r="G20" s="9" t="str">
        <f t="shared" si="1"/>
        <v>IMPLANTAÇÃO MÓDULO EXAMES NA UNICAMP</v>
      </c>
      <c r="H20" s="9" t="s">
        <v>358</v>
      </c>
      <c r="I20" s="18">
        <v>43435</v>
      </c>
      <c r="J20" s="10">
        <v>10</v>
      </c>
      <c r="K20" s="11">
        <v>13</v>
      </c>
      <c r="L20" s="58">
        <v>24.04</v>
      </c>
      <c r="M20" s="58">
        <v>110.69</v>
      </c>
      <c r="N20" s="58"/>
      <c r="O20" s="12">
        <v>0</v>
      </c>
      <c r="P20" s="14"/>
      <c r="Q20" s="15"/>
      <c r="R20" s="98">
        <f t="shared" si="0"/>
        <v>134.72999999999999</v>
      </c>
      <c r="S20" s="16"/>
      <c r="T20" s="16"/>
      <c r="U20" s="16"/>
      <c r="V20" s="16"/>
    </row>
    <row r="21" spans="2:22" s="17" customFormat="1" ht="45.75" customHeight="1" x14ac:dyDescent="0.2">
      <c r="B21" s="99">
        <v>17</v>
      </c>
      <c r="C21" s="56" t="s">
        <v>456</v>
      </c>
      <c r="D21" s="10" t="s">
        <v>153</v>
      </c>
      <c r="E21" s="216" t="s">
        <v>736</v>
      </c>
      <c r="F21" s="284" t="s">
        <v>731</v>
      </c>
      <c r="G21" s="9" t="str">
        <f t="shared" si="1"/>
        <v>CONVOCAÇÃO DO MINISTÉRIO DO PLANEJAMENTO PARA FÓRUM DE DISCUSSÃO COM EMPRESAS ESTATAIS FEDERAIS COM VISTAS A APRESENTAR A RESOLUÇÃO Nº 25.</v>
      </c>
      <c r="H21" s="9" t="s">
        <v>9</v>
      </c>
      <c r="I21" s="18">
        <v>43435</v>
      </c>
      <c r="J21" s="10">
        <v>20</v>
      </c>
      <c r="K21" s="11">
        <v>21</v>
      </c>
      <c r="L21" s="58">
        <v>0</v>
      </c>
      <c r="M21" s="58">
        <v>83.38</v>
      </c>
      <c r="N21" s="58">
        <v>0</v>
      </c>
      <c r="O21" s="12">
        <f>21+58</f>
        <v>79</v>
      </c>
      <c r="P21" s="14">
        <f>1431.98+1529.39</f>
        <v>2961.37</v>
      </c>
      <c r="Q21" s="15">
        <f>259.6+74.8</f>
        <v>334.40000000000003</v>
      </c>
      <c r="R21" s="98">
        <f t="shared" si="0"/>
        <v>3458.15</v>
      </c>
      <c r="S21" s="16"/>
      <c r="T21" s="16"/>
      <c r="U21" s="16"/>
      <c r="V21" s="16"/>
    </row>
    <row r="22" spans="2:22" s="17" customFormat="1" ht="46.5" customHeight="1" x14ac:dyDescent="0.2">
      <c r="B22" s="99">
        <v>18</v>
      </c>
      <c r="C22" s="57" t="s">
        <v>457</v>
      </c>
      <c r="D22" s="10" t="s">
        <v>151</v>
      </c>
      <c r="E22" s="216" t="s">
        <v>737</v>
      </c>
      <c r="F22" s="280" t="s">
        <v>731</v>
      </c>
      <c r="G22" s="9" t="str">
        <f t="shared" si="1"/>
        <v>CONVOCAÇÃO DO MINISTÉRIO DO PLANEJAMENTO PARA FÓRUM DE DISCUSSÃO COM EMPRESAS ESTATAIS FEDERAIS COM VISTAS A APRESENTAR A RESOLUÇÃO Nº 25.</v>
      </c>
      <c r="H22" s="9" t="s">
        <v>9</v>
      </c>
      <c r="I22" s="18">
        <v>43435</v>
      </c>
      <c r="J22" s="10">
        <v>20</v>
      </c>
      <c r="K22" s="11">
        <v>21</v>
      </c>
      <c r="L22" s="58">
        <v>0</v>
      </c>
      <c r="M22" s="58">
        <v>85.36</v>
      </c>
      <c r="N22" s="58">
        <v>0</v>
      </c>
      <c r="O22" s="12">
        <v>0</v>
      </c>
      <c r="P22" s="14">
        <f>1431.98+1529.39</f>
        <v>2961.37</v>
      </c>
      <c r="Q22" s="15">
        <f>259.6+69.3</f>
        <v>328.90000000000003</v>
      </c>
      <c r="R22" s="98">
        <f t="shared" si="0"/>
        <v>3375.63</v>
      </c>
      <c r="S22" s="16"/>
      <c r="T22" s="16"/>
      <c r="U22" s="16"/>
      <c r="V22" s="16"/>
    </row>
    <row r="23" spans="2:22" s="17" customFormat="1" ht="47.25" customHeight="1" x14ac:dyDescent="0.2">
      <c r="B23" s="99">
        <v>19</v>
      </c>
      <c r="C23" s="56" t="s">
        <v>458</v>
      </c>
      <c r="D23" s="10" t="s">
        <v>460</v>
      </c>
      <c r="E23" s="216" t="s">
        <v>738</v>
      </c>
      <c r="F23" s="284" t="s">
        <v>731</v>
      </c>
      <c r="G23" s="9" t="str">
        <f t="shared" si="1"/>
        <v>CONVOCAÇÃO DO MINISTÉRIO DO PLANEJAMENTO PARA FÓRUM DE DISCUSSÃO COM EMPRESAS ESTATAIS FEDERAIS COM VISTAS A APRESENTAR A RESOLUÇÃO Nº 25.</v>
      </c>
      <c r="H23" s="9" t="s">
        <v>9</v>
      </c>
      <c r="I23" s="18">
        <v>43435</v>
      </c>
      <c r="J23" s="10">
        <v>20</v>
      </c>
      <c r="K23" s="11">
        <v>21</v>
      </c>
      <c r="L23" s="58">
        <v>0</v>
      </c>
      <c r="M23" s="58">
        <v>89.87</v>
      </c>
      <c r="N23" s="58"/>
      <c r="O23" s="12">
        <v>175</v>
      </c>
      <c r="P23" s="14">
        <f>1431.98+1529.39</f>
        <v>2961.37</v>
      </c>
      <c r="Q23" s="15">
        <f>259.6+74.8</f>
        <v>334.40000000000003</v>
      </c>
      <c r="R23" s="98">
        <f t="shared" si="0"/>
        <v>3560.64</v>
      </c>
      <c r="S23" s="16"/>
      <c r="T23" s="16"/>
      <c r="U23" s="16"/>
      <c r="V23" s="16"/>
    </row>
    <row r="24" spans="2:22" s="17" customFormat="1" ht="21" customHeight="1" thickBot="1" x14ac:dyDescent="0.25">
      <c r="B24" s="100">
        <v>20</v>
      </c>
      <c r="C24" s="101" t="s">
        <v>462</v>
      </c>
      <c r="D24" s="104" t="s">
        <v>360</v>
      </c>
      <c r="E24" s="235" t="s">
        <v>676</v>
      </c>
      <c r="F24" s="282" t="s">
        <v>664</v>
      </c>
      <c r="G24" s="102" t="str">
        <f t="shared" si="1"/>
        <v>IMPLANTAÇÃO DO MODULO DE EXAMES DO AGHUSE.</v>
      </c>
      <c r="H24" s="102" t="s">
        <v>358</v>
      </c>
      <c r="I24" s="103">
        <v>43435</v>
      </c>
      <c r="J24" s="135">
        <v>10</v>
      </c>
      <c r="K24" s="179">
        <v>13</v>
      </c>
      <c r="L24" s="149">
        <v>82.33</v>
      </c>
      <c r="M24" s="149">
        <v>48.07</v>
      </c>
      <c r="N24" s="149"/>
      <c r="O24" s="128">
        <v>0</v>
      </c>
      <c r="P24" s="107"/>
      <c r="Q24" s="108"/>
      <c r="R24" s="109">
        <f t="shared" si="0"/>
        <v>130.4</v>
      </c>
      <c r="S24" s="16"/>
      <c r="T24" s="16"/>
      <c r="U24" s="16"/>
      <c r="V24" s="16"/>
    </row>
    <row r="25" spans="2:22" s="31" customFormat="1" ht="24.75" customHeight="1" x14ac:dyDescent="0.2">
      <c r="C25" s="32"/>
      <c r="D25" s="32"/>
      <c r="E25" s="32"/>
      <c r="F25" s="32"/>
      <c r="G25" s="32"/>
      <c r="H25" s="34"/>
      <c r="I25" s="32"/>
      <c r="J25" s="20"/>
      <c r="K25" s="33"/>
      <c r="L25" s="36">
        <f t="shared" ref="L25:Q25" si="2">SUM(L5:L24)</f>
        <v>987.04000000000008</v>
      </c>
      <c r="M25" s="36">
        <f t="shared" si="2"/>
        <v>1499.6699999999998</v>
      </c>
      <c r="N25" s="36">
        <f t="shared" si="2"/>
        <v>0</v>
      </c>
      <c r="O25" s="133">
        <f t="shared" si="2"/>
        <v>603.15</v>
      </c>
      <c r="P25" s="60">
        <f t="shared" si="2"/>
        <v>31457.149999999998</v>
      </c>
      <c r="Q25" s="61">
        <f t="shared" si="2"/>
        <v>7147.0599999999995</v>
      </c>
      <c r="R25" s="59">
        <f>SUM(R5:R24)+O26</f>
        <v>41700.10149999999</v>
      </c>
    </row>
    <row r="26" spans="2:22" s="40" customFormat="1" ht="24.75" customHeight="1" thickBot="1" x14ac:dyDescent="0.3">
      <c r="C26" s="41"/>
      <c r="D26" s="288"/>
      <c r="E26" s="288"/>
      <c r="F26" s="288"/>
      <c r="G26" s="288"/>
      <c r="H26" s="288"/>
      <c r="I26" s="288"/>
      <c r="J26" s="288"/>
      <c r="K26" s="42"/>
      <c r="L26" s="43"/>
      <c r="M26" s="43"/>
      <c r="N26" s="91" t="s">
        <v>315</v>
      </c>
      <c r="O26" s="27">
        <f>O25*1%</f>
        <v>6.0315000000000003</v>
      </c>
      <c r="R26" s="44"/>
    </row>
    <row r="27" spans="2:22" s="40" customFormat="1" ht="24.75" customHeight="1" thickBot="1" x14ac:dyDescent="0.3">
      <c r="C27" s="41"/>
      <c r="D27" s="170" t="s">
        <v>369</v>
      </c>
      <c r="E27" s="273"/>
      <c r="F27" s="273"/>
      <c r="G27" s="273"/>
      <c r="H27" s="45"/>
      <c r="I27" s="41"/>
      <c r="J27" s="41"/>
      <c r="K27" s="42"/>
      <c r="L27" s="43"/>
      <c r="M27" s="43"/>
      <c r="N27" s="43"/>
      <c r="O27" s="93">
        <f>O25+O26</f>
        <v>609.18150000000003</v>
      </c>
      <c r="P27" s="46"/>
      <c r="Q27" s="44"/>
      <c r="R27" s="47" t="s">
        <v>50</v>
      </c>
    </row>
    <row r="28" spans="2:22" s="40" customFormat="1" ht="24.75" customHeight="1" x14ac:dyDescent="0.2">
      <c r="C28" s="41"/>
      <c r="D28" s="289"/>
      <c r="E28" s="289"/>
      <c r="F28" s="289"/>
      <c r="G28" s="289"/>
      <c r="H28" s="289"/>
      <c r="I28" s="289"/>
      <c r="J28" s="289"/>
      <c r="K28" s="42"/>
      <c r="L28" s="43"/>
      <c r="M28" s="43"/>
      <c r="N28" s="43"/>
      <c r="O28" s="27"/>
      <c r="P28" s="5" t="s">
        <v>49</v>
      </c>
      <c r="Q28" s="167">
        <f>L25+M25+N25+O27+P25+Q25</f>
        <v>41700.101499999997</v>
      </c>
      <c r="R28" s="48">
        <f>R25-Q28</f>
        <v>0</v>
      </c>
    </row>
    <row r="29" spans="2:22" ht="24.75" customHeight="1" x14ac:dyDescent="0.25">
      <c r="C29" s="49"/>
      <c r="D29" s="50"/>
      <c r="E29" s="50"/>
      <c r="F29" s="50"/>
      <c r="G29" s="50"/>
      <c r="H29" s="51"/>
      <c r="I29" s="52"/>
      <c r="J29" s="52"/>
      <c r="K29" s="52"/>
      <c r="N29" s="91" t="s">
        <v>315</v>
      </c>
      <c r="O29" s="27" t="s">
        <v>316</v>
      </c>
    </row>
    <row r="30" spans="2:22" ht="24.75" customHeight="1" x14ac:dyDescent="0.25">
      <c r="C30" s="49"/>
      <c r="D30" s="50"/>
      <c r="E30" s="50"/>
      <c r="F30" s="50"/>
      <c r="G30" s="50"/>
      <c r="H30" s="51"/>
      <c r="I30" s="52"/>
      <c r="J30" s="52"/>
      <c r="K30" s="52"/>
      <c r="O30" s="27"/>
    </row>
    <row r="31" spans="2:22" ht="24.75" customHeight="1" x14ac:dyDescent="0.25">
      <c r="C31" s="49"/>
      <c r="D31" s="50"/>
      <c r="E31" s="50"/>
      <c r="F31" s="50"/>
      <c r="G31" s="50"/>
      <c r="H31" s="51"/>
      <c r="I31" s="52"/>
      <c r="J31" s="52"/>
      <c r="K31" s="52"/>
      <c r="O31" s="27"/>
    </row>
    <row r="32" spans="2:22" ht="24.75" customHeight="1" x14ac:dyDescent="0.25">
      <c r="C32" s="49"/>
      <c r="D32" s="50"/>
      <c r="E32" s="50"/>
      <c r="F32" s="50"/>
      <c r="G32" s="50"/>
      <c r="H32" s="51"/>
      <c r="I32" s="52"/>
      <c r="J32" s="52"/>
      <c r="K32" s="52"/>
      <c r="O32" s="27"/>
    </row>
    <row r="33" spans="3:18" ht="24.75" customHeight="1" x14ac:dyDescent="0.25">
      <c r="C33" s="49"/>
      <c r="D33" s="50"/>
      <c r="E33" s="50"/>
      <c r="F33" s="50"/>
      <c r="G33" s="50"/>
      <c r="H33" s="51"/>
      <c r="I33" s="52"/>
      <c r="J33" s="52"/>
      <c r="K33" s="52"/>
      <c r="O33" s="27"/>
    </row>
    <row r="34" spans="3:18" ht="24.75" customHeight="1" x14ac:dyDescent="0.25">
      <c r="C34" s="49"/>
      <c r="D34" s="50"/>
      <c r="E34" s="50"/>
      <c r="F34" s="50"/>
      <c r="G34" s="50"/>
      <c r="H34" s="51"/>
      <c r="I34" s="52"/>
      <c r="J34" s="52"/>
      <c r="K34" s="52"/>
      <c r="O34" s="27"/>
    </row>
    <row r="35" spans="3:18" ht="24.75" customHeight="1" x14ac:dyDescent="0.25">
      <c r="C35" s="49"/>
      <c r="D35" s="50"/>
      <c r="E35" s="50"/>
      <c r="F35" s="50"/>
      <c r="G35" s="50"/>
      <c r="H35" s="51"/>
      <c r="I35" s="52"/>
      <c r="J35" s="52"/>
      <c r="K35" s="52"/>
      <c r="O35" s="27"/>
    </row>
    <row r="36" spans="3:18" ht="24.75" customHeight="1" x14ac:dyDescent="0.25">
      <c r="C36" s="49"/>
      <c r="D36" s="50"/>
      <c r="E36" s="50"/>
      <c r="F36" s="50"/>
      <c r="G36" s="50"/>
      <c r="H36" s="51"/>
      <c r="I36" s="52"/>
      <c r="J36" s="52"/>
      <c r="K36" s="52"/>
      <c r="O36" s="27"/>
    </row>
    <row r="37" spans="3:18" ht="24.75" customHeight="1" x14ac:dyDescent="0.25">
      <c r="C37" s="49"/>
      <c r="H37" s="51"/>
      <c r="I37" s="52"/>
      <c r="J37" s="52"/>
      <c r="K37" s="52"/>
      <c r="O37" s="27"/>
    </row>
    <row r="38" spans="3:18" ht="24.75" customHeight="1" x14ac:dyDescent="0.25">
      <c r="C38" s="49"/>
      <c r="D38" s="50"/>
      <c r="E38" s="50"/>
      <c r="F38" s="50"/>
      <c r="G38" s="50"/>
      <c r="H38" s="51"/>
      <c r="I38" s="52"/>
      <c r="J38" s="52"/>
      <c r="K38" s="52"/>
      <c r="O38" s="27"/>
    </row>
    <row r="39" spans="3:18" ht="24.75" customHeight="1" x14ac:dyDescent="0.25">
      <c r="C39" s="49"/>
      <c r="D39" s="50"/>
      <c r="E39" s="50"/>
      <c r="F39" s="50"/>
      <c r="G39" s="50"/>
      <c r="H39" s="51"/>
      <c r="I39" s="52"/>
      <c r="J39" s="52"/>
      <c r="K39" s="52"/>
      <c r="O39" s="53"/>
    </row>
    <row r="40" spans="3:18" ht="24.75" customHeight="1" x14ac:dyDescent="0.25">
      <c r="C40" s="49"/>
      <c r="D40" s="50"/>
      <c r="E40" s="50"/>
      <c r="F40" s="50"/>
      <c r="G40" s="50"/>
      <c r="H40" s="51"/>
      <c r="I40" s="52"/>
      <c r="J40" s="52"/>
      <c r="K40" s="52"/>
      <c r="O40" s="40"/>
      <c r="P40"/>
      <c r="Q40"/>
      <c r="R40"/>
    </row>
    <row r="41" spans="3:18" ht="24.75" customHeight="1" x14ac:dyDescent="0.25">
      <c r="C41" s="49"/>
      <c r="D41" s="50"/>
      <c r="E41" s="50"/>
      <c r="F41" s="50"/>
      <c r="G41" s="50"/>
      <c r="H41" s="51"/>
      <c r="I41" s="52"/>
      <c r="J41" s="52"/>
      <c r="K41" s="52"/>
      <c r="O41" s="40"/>
      <c r="P41"/>
      <c r="Q41"/>
      <c r="R41"/>
    </row>
    <row r="42" spans="3:18" ht="24.75" customHeight="1" x14ac:dyDescent="0.25">
      <c r="C42" s="49"/>
      <c r="D42" s="50"/>
      <c r="E42" s="50"/>
      <c r="F42" s="50"/>
      <c r="G42" s="50"/>
      <c r="H42" s="51"/>
      <c r="I42" s="52"/>
      <c r="J42" s="52"/>
      <c r="K42" s="52"/>
      <c r="O42" s="40"/>
      <c r="P42"/>
      <c r="Q42"/>
      <c r="R42"/>
    </row>
    <row r="43" spans="3:18" ht="24.75" customHeight="1" x14ac:dyDescent="0.25">
      <c r="C43" s="49"/>
      <c r="D43" s="50"/>
      <c r="E43" s="50"/>
      <c r="F43" s="50"/>
      <c r="G43" s="50"/>
      <c r="H43" s="51"/>
      <c r="I43" s="52"/>
      <c r="J43" s="52"/>
      <c r="K43" s="52"/>
      <c r="P43"/>
      <c r="Q43"/>
      <c r="R43"/>
    </row>
    <row r="44" spans="3:18" ht="24.75" customHeight="1" x14ac:dyDescent="0.25">
      <c r="C44" s="49"/>
      <c r="D44" s="50"/>
      <c r="E44" s="50"/>
      <c r="F44" s="50"/>
      <c r="G44" s="50"/>
      <c r="H44" s="51"/>
      <c r="I44" s="52"/>
      <c r="J44" s="52"/>
      <c r="K44" s="52"/>
      <c r="P44"/>
      <c r="Q44"/>
      <c r="R44"/>
    </row>
    <row r="45" spans="3:18" ht="24.75" customHeight="1" x14ac:dyDescent="0.25">
      <c r="C45" s="49"/>
      <c r="D45" s="50"/>
      <c r="E45" s="50"/>
      <c r="F45" s="50"/>
      <c r="G45" s="50"/>
      <c r="H45" s="51"/>
      <c r="I45" s="52"/>
      <c r="J45" s="52"/>
      <c r="K45" s="52"/>
      <c r="P45"/>
      <c r="Q45"/>
      <c r="R45"/>
    </row>
    <row r="46" spans="3:18" ht="24.75" customHeight="1" x14ac:dyDescent="0.25">
      <c r="C46" s="49"/>
      <c r="D46" s="50"/>
      <c r="E46" s="50"/>
      <c r="F46" s="50"/>
      <c r="G46" s="50"/>
      <c r="H46" s="51"/>
      <c r="I46" s="52"/>
      <c r="J46" s="52"/>
      <c r="K46" s="52"/>
      <c r="P46"/>
      <c r="Q46"/>
      <c r="R46"/>
    </row>
    <row r="47" spans="3:18" ht="24.75" customHeight="1" x14ac:dyDescent="0.25">
      <c r="C47" s="49"/>
      <c r="D47" s="50"/>
      <c r="E47" s="50"/>
      <c r="F47" s="50"/>
      <c r="G47" s="50"/>
      <c r="H47" s="51"/>
      <c r="I47" s="52"/>
      <c r="J47" s="52"/>
      <c r="K47" s="52"/>
      <c r="P47"/>
      <c r="Q47"/>
      <c r="R47"/>
    </row>
    <row r="48" spans="3:18" ht="24.75" customHeight="1" x14ac:dyDescent="0.25">
      <c r="C48" s="49"/>
      <c r="D48" s="50"/>
      <c r="E48" s="50"/>
      <c r="F48" s="50"/>
      <c r="G48" s="50"/>
      <c r="H48" s="51"/>
      <c r="I48" s="52"/>
      <c r="J48" s="52"/>
      <c r="K48" s="52"/>
      <c r="P48"/>
      <c r="Q48"/>
      <c r="R48"/>
    </row>
    <row r="49" spans="3:18" ht="24.75" customHeight="1" x14ac:dyDescent="0.25">
      <c r="C49" s="49"/>
      <c r="D49" s="50"/>
      <c r="E49" s="50"/>
      <c r="F49" s="50"/>
      <c r="G49" s="50"/>
      <c r="H49" s="51"/>
      <c r="I49" s="52"/>
      <c r="J49" s="52"/>
      <c r="K49" s="52"/>
      <c r="P49"/>
      <c r="Q49"/>
      <c r="R49"/>
    </row>
    <row r="50" spans="3:18" ht="24.75" customHeight="1" x14ac:dyDescent="0.25">
      <c r="C50" s="49"/>
      <c r="D50" s="50"/>
      <c r="E50" s="50"/>
      <c r="F50" s="50"/>
      <c r="G50" s="50"/>
      <c r="H50" s="51"/>
      <c r="I50" s="52"/>
      <c r="J50" s="52"/>
      <c r="K50" s="52"/>
      <c r="P50"/>
      <c r="Q50"/>
      <c r="R50"/>
    </row>
    <row r="51" spans="3:18" ht="24.75" customHeight="1" x14ac:dyDescent="0.25">
      <c r="C51" s="49"/>
      <c r="D51" s="50"/>
      <c r="E51" s="50"/>
      <c r="F51" s="50"/>
      <c r="G51" s="50"/>
      <c r="H51" s="51"/>
      <c r="I51" s="52"/>
      <c r="J51" s="52"/>
      <c r="K51" s="52"/>
      <c r="P51"/>
      <c r="Q51"/>
      <c r="R51"/>
    </row>
    <row r="52" spans="3:18" ht="24.75" customHeight="1" x14ac:dyDescent="0.25">
      <c r="C52" s="49"/>
      <c r="D52" s="50"/>
      <c r="E52" s="50"/>
      <c r="F52" s="50"/>
      <c r="G52" s="50"/>
      <c r="H52" s="51"/>
      <c r="I52" s="52"/>
      <c r="J52" s="52"/>
      <c r="K52" s="52"/>
      <c r="P52"/>
      <c r="Q52"/>
      <c r="R52"/>
    </row>
    <row r="53" spans="3:18" ht="24.75" customHeight="1" x14ac:dyDescent="0.25">
      <c r="C53" s="49"/>
      <c r="D53" s="50"/>
      <c r="E53" s="50"/>
      <c r="F53" s="50"/>
      <c r="G53" s="50"/>
      <c r="H53" s="51"/>
      <c r="I53" s="52"/>
      <c r="J53" s="52"/>
      <c r="K53" s="52"/>
      <c r="P53"/>
      <c r="Q53"/>
      <c r="R53"/>
    </row>
    <row r="54" spans="3:18" ht="24.75" customHeight="1" x14ac:dyDescent="0.25">
      <c r="C54" s="49"/>
      <c r="D54" s="50"/>
      <c r="E54" s="50"/>
      <c r="F54" s="50"/>
      <c r="G54" s="50"/>
      <c r="H54" s="51"/>
      <c r="I54" s="52"/>
      <c r="J54" s="52"/>
      <c r="K54" s="52"/>
      <c r="P54"/>
      <c r="Q54"/>
      <c r="R54"/>
    </row>
    <row r="55" spans="3:18" ht="24.75" customHeight="1" x14ac:dyDescent="0.25">
      <c r="C55" s="49"/>
      <c r="D55" s="50"/>
      <c r="E55" s="50"/>
      <c r="F55" s="50"/>
      <c r="G55" s="50"/>
      <c r="H55" s="51"/>
      <c r="I55" s="52"/>
      <c r="J55" s="52"/>
      <c r="K55" s="52"/>
      <c r="P55"/>
      <c r="Q55"/>
      <c r="R55"/>
    </row>
    <row r="56" spans="3:18" ht="24.75" customHeight="1" x14ac:dyDescent="0.25">
      <c r="C56" s="49"/>
      <c r="D56" s="50"/>
      <c r="E56" s="50"/>
      <c r="F56" s="50"/>
      <c r="G56" s="50"/>
      <c r="H56" s="51"/>
      <c r="I56" s="52"/>
      <c r="J56" s="52"/>
      <c r="K56" s="52"/>
      <c r="L56"/>
      <c r="M56"/>
      <c r="N56"/>
      <c r="P56"/>
      <c r="Q56"/>
      <c r="R56"/>
    </row>
    <row r="57" spans="3:18" ht="24.75" customHeight="1" x14ac:dyDescent="0.25">
      <c r="C57" s="49"/>
      <c r="D57" s="50"/>
      <c r="E57" s="50"/>
      <c r="F57" s="50"/>
      <c r="G57" s="50"/>
      <c r="H57" s="51"/>
      <c r="I57" s="52"/>
      <c r="J57" s="52"/>
      <c r="K57" s="52"/>
      <c r="L57"/>
      <c r="M57"/>
      <c r="N57"/>
      <c r="P57"/>
      <c r="Q57"/>
      <c r="R57"/>
    </row>
    <row r="58" spans="3:18" ht="24.75" customHeight="1" x14ac:dyDescent="0.25">
      <c r="C58" s="49"/>
      <c r="D58" s="50"/>
      <c r="E58" s="50"/>
      <c r="F58" s="50"/>
      <c r="G58" s="50"/>
      <c r="H58" s="51"/>
      <c r="I58" s="52"/>
      <c r="J58" s="52"/>
      <c r="K58" s="52"/>
      <c r="L58"/>
      <c r="M58"/>
      <c r="N58"/>
      <c r="P58"/>
      <c r="Q58"/>
      <c r="R58"/>
    </row>
    <row r="59" spans="3:18" ht="24.75" customHeight="1" x14ac:dyDescent="0.25">
      <c r="C59" s="49"/>
      <c r="D59" s="50"/>
      <c r="E59" s="50"/>
      <c r="F59" s="50"/>
      <c r="G59" s="50"/>
      <c r="H59" s="51"/>
      <c r="I59" s="52"/>
      <c r="J59" s="52"/>
      <c r="K59" s="52"/>
      <c r="L59"/>
      <c r="M59"/>
      <c r="N59"/>
      <c r="P59"/>
      <c r="Q59"/>
      <c r="R59"/>
    </row>
    <row r="60" spans="3:18" ht="24.75" customHeight="1" x14ac:dyDescent="0.25">
      <c r="C60" s="49"/>
      <c r="D60" s="50"/>
      <c r="E60" s="50"/>
      <c r="F60" s="50"/>
      <c r="G60" s="50"/>
      <c r="H60" s="51"/>
      <c r="I60" s="52"/>
      <c r="J60" s="52"/>
      <c r="K60" s="52"/>
      <c r="L60"/>
      <c r="M60"/>
      <c r="N60"/>
      <c r="P60"/>
      <c r="Q60"/>
      <c r="R60"/>
    </row>
    <row r="61" spans="3:18" ht="24.75" customHeight="1" x14ac:dyDescent="0.25">
      <c r="C61" s="49"/>
      <c r="D61" s="50"/>
      <c r="E61" s="50"/>
      <c r="F61" s="50"/>
      <c r="G61" s="50"/>
      <c r="H61" s="51"/>
      <c r="I61" s="52"/>
      <c r="J61" s="52"/>
      <c r="K61" s="52"/>
      <c r="L61"/>
      <c r="M61"/>
      <c r="N61"/>
      <c r="P61"/>
      <c r="Q61"/>
      <c r="R61"/>
    </row>
    <row r="62" spans="3:18" ht="24.75" customHeight="1" x14ac:dyDescent="0.25">
      <c r="C62" s="49"/>
      <c r="D62" s="50"/>
      <c r="E62" s="50"/>
      <c r="F62" s="50"/>
      <c r="G62" s="50"/>
      <c r="H62" s="51"/>
      <c r="I62" s="52"/>
      <c r="J62" s="52"/>
      <c r="K62" s="52"/>
      <c r="L62"/>
      <c r="M62"/>
      <c r="N62"/>
      <c r="P62"/>
      <c r="Q62"/>
      <c r="R62"/>
    </row>
    <row r="63" spans="3:18" ht="24.75" customHeight="1" x14ac:dyDescent="0.25">
      <c r="C63" s="49"/>
      <c r="D63" s="50"/>
      <c r="E63" s="50"/>
      <c r="F63" s="50"/>
      <c r="G63" s="50"/>
      <c r="H63" s="51"/>
      <c r="I63" s="52"/>
      <c r="J63" s="52"/>
      <c r="K63" s="52"/>
      <c r="L63"/>
      <c r="M63"/>
      <c r="N63"/>
      <c r="P63"/>
      <c r="Q63"/>
      <c r="R63"/>
    </row>
    <row r="64" spans="3:18" ht="24.75" customHeight="1" x14ac:dyDescent="0.25">
      <c r="C64" s="49"/>
      <c r="D64" s="50"/>
      <c r="E64" s="50"/>
      <c r="F64" s="50"/>
      <c r="G64" s="50"/>
      <c r="H64" s="51"/>
      <c r="I64" s="52"/>
      <c r="J64" s="52"/>
      <c r="K64" s="52"/>
      <c r="L64"/>
      <c r="M64"/>
      <c r="N64"/>
      <c r="P64"/>
      <c r="Q64"/>
      <c r="R64"/>
    </row>
    <row r="65" spans="3:18" ht="24.75" customHeight="1" x14ac:dyDescent="0.25">
      <c r="C65" s="49"/>
      <c r="D65" s="50"/>
      <c r="E65" s="50"/>
      <c r="F65" s="50"/>
      <c r="G65" s="50"/>
      <c r="H65" s="51"/>
      <c r="I65" s="52"/>
      <c r="J65" s="52"/>
      <c r="K65" s="52"/>
      <c r="L65"/>
      <c r="M65"/>
      <c r="N65"/>
      <c r="P65"/>
      <c r="Q65"/>
      <c r="R65"/>
    </row>
    <row r="66" spans="3:18" ht="24.75" customHeight="1" x14ac:dyDescent="0.25">
      <c r="C66" s="49"/>
      <c r="D66" s="50"/>
      <c r="E66" s="50"/>
      <c r="F66" s="50"/>
      <c r="G66" s="50"/>
      <c r="H66" s="51"/>
      <c r="I66" s="52"/>
      <c r="J66" s="52"/>
      <c r="K66" s="52"/>
      <c r="L66"/>
      <c r="M66"/>
      <c r="N66"/>
      <c r="P66"/>
      <c r="Q66"/>
      <c r="R66"/>
    </row>
    <row r="67" spans="3:18" ht="24.75" customHeight="1" x14ac:dyDescent="0.25">
      <c r="C67" s="49"/>
      <c r="D67" s="50"/>
      <c r="E67" s="50"/>
      <c r="F67" s="50"/>
      <c r="G67" s="50"/>
      <c r="H67" s="51"/>
      <c r="I67" s="52"/>
      <c r="J67" s="52"/>
      <c r="K67" s="52"/>
      <c r="L67"/>
      <c r="M67"/>
      <c r="N67"/>
      <c r="P67"/>
      <c r="Q67"/>
      <c r="R67"/>
    </row>
    <row r="68" spans="3:18" ht="24.75" customHeight="1" x14ac:dyDescent="0.25">
      <c r="C68" s="49"/>
      <c r="D68" s="50"/>
      <c r="E68" s="50"/>
      <c r="F68" s="50"/>
      <c r="G68" s="50"/>
      <c r="H68" s="51"/>
      <c r="I68" s="52"/>
      <c r="J68" s="52"/>
      <c r="K68" s="52"/>
      <c r="L68"/>
      <c r="M68"/>
      <c r="N68"/>
      <c r="P68"/>
      <c r="Q68"/>
      <c r="R68"/>
    </row>
    <row r="69" spans="3:18" ht="24.75" customHeight="1" x14ac:dyDescent="0.25">
      <c r="C69" s="49"/>
      <c r="D69" s="50"/>
      <c r="E69" s="50"/>
      <c r="F69" s="50"/>
      <c r="G69" s="50"/>
      <c r="H69" s="51"/>
      <c r="I69" s="52"/>
      <c r="J69" s="52"/>
      <c r="K69" s="52"/>
      <c r="L69"/>
      <c r="M69"/>
      <c r="N69"/>
      <c r="P69"/>
      <c r="Q69"/>
      <c r="R69"/>
    </row>
    <row r="70" spans="3:18" ht="24.75" customHeight="1" x14ac:dyDescent="0.25">
      <c r="C70" s="49"/>
      <c r="D70" s="50"/>
      <c r="E70" s="50"/>
      <c r="F70" s="50"/>
      <c r="G70" s="50"/>
      <c r="H70" s="51"/>
      <c r="I70" s="52"/>
      <c r="J70" s="52"/>
      <c r="K70" s="52"/>
      <c r="L70"/>
      <c r="M70"/>
      <c r="N70"/>
      <c r="P70"/>
      <c r="Q70"/>
      <c r="R70"/>
    </row>
    <row r="71" spans="3:18" ht="24.75" customHeight="1" x14ac:dyDescent="0.25">
      <c r="C71" s="49"/>
      <c r="D71" s="50"/>
      <c r="E71" s="50"/>
      <c r="F71" s="50"/>
      <c r="G71" s="50"/>
      <c r="H71" s="51"/>
      <c r="I71" s="52"/>
      <c r="J71" s="52"/>
      <c r="K71" s="52"/>
      <c r="L71"/>
      <c r="M71"/>
      <c r="N71"/>
      <c r="P71"/>
      <c r="Q71"/>
      <c r="R71"/>
    </row>
    <row r="72" spans="3:18" ht="24.75" customHeight="1" x14ac:dyDescent="0.25">
      <c r="C72" s="49"/>
      <c r="D72" s="50"/>
      <c r="E72" s="50"/>
      <c r="F72" s="50"/>
      <c r="G72" s="50"/>
      <c r="H72" s="51"/>
      <c r="I72" s="52"/>
      <c r="J72" s="52"/>
      <c r="K72" s="52"/>
      <c r="L72"/>
      <c r="M72"/>
      <c r="N72"/>
      <c r="P72"/>
      <c r="Q72"/>
      <c r="R72"/>
    </row>
    <row r="73" spans="3:18" ht="24.75" customHeight="1" x14ac:dyDescent="0.25">
      <c r="C73" s="49"/>
      <c r="D73" s="50"/>
      <c r="E73" s="50"/>
      <c r="F73" s="50"/>
      <c r="G73" s="50"/>
      <c r="H73" s="51"/>
      <c r="I73" s="52"/>
      <c r="J73" s="52"/>
      <c r="K73" s="52"/>
      <c r="L73"/>
      <c r="M73"/>
      <c r="N73"/>
      <c r="P73"/>
      <c r="Q73"/>
      <c r="R73"/>
    </row>
    <row r="74" spans="3:18" ht="24.75" customHeight="1" x14ac:dyDescent="0.25">
      <c r="C74" s="49"/>
      <c r="D74" s="50"/>
      <c r="E74" s="50"/>
      <c r="F74" s="50"/>
      <c r="G74" s="50"/>
      <c r="H74" s="51"/>
      <c r="I74" s="52"/>
      <c r="J74" s="52"/>
      <c r="K74" s="52"/>
      <c r="L74"/>
      <c r="M74"/>
      <c r="N74"/>
      <c r="P74"/>
      <c r="Q74"/>
      <c r="R74"/>
    </row>
    <row r="75" spans="3:18" ht="24.75" customHeight="1" x14ac:dyDescent="0.25">
      <c r="C75" s="49"/>
      <c r="D75" s="50"/>
      <c r="E75" s="50"/>
      <c r="F75" s="50"/>
      <c r="G75" s="50"/>
      <c r="H75" s="51"/>
      <c r="I75" s="52"/>
      <c r="J75" s="52"/>
      <c r="K75" s="52"/>
      <c r="L75"/>
      <c r="M75"/>
      <c r="N75"/>
      <c r="P75"/>
      <c r="Q75"/>
      <c r="R75"/>
    </row>
    <row r="76" spans="3:18" ht="24.75" customHeight="1" x14ac:dyDescent="0.25">
      <c r="C76" s="49"/>
      <c r="D76" s="50"/>
      <c r="E76" s="50"/>
      <c r="F76" s="50"/>
      <c r="G76" s="50"/>
      <c r="H76" s="51"/>
      <c r="I76" s="52"/>
      <c r="J76" s="52"/>
      <c r="K76" s="52"/>
      <c r="L76"/>
      <c r="M76"/>
      <c r="N76"/>
      <c r="P76"/>
      <c r="Q76"/>
      <c r="R76"/>
    </row>
    <row r="77" spans="3:18" ht="24.75" customHeight="1" x14ac:dyDescent="0.25">
      <c r="C77" s="49"/>
      <c r="D77" s="50"/>
      <c r="E77" s="50"/>
      <c r="F77" s="50"/>
      <c r="G77" s="50"/>
      <c r="H77" s="51"/>
      <c r="I77" s="52"/>
      <c r="J77" s="52"/>
      <c r="K77" s="52"/>
      <c r="L77"/>
      <c r="M77"/>
      <c r="N77"/>
      <c r="P77"/>
      <c r="Q77"/>
      <c r="R77"/>
    </row>
    <row r="78" spans="3:18" ht="24.75" customHeight="1" x14ac:dyDescent="0.25">
      <c r="C78" s="49"/>
      <c r="D78" s="50"/>
      <c r="E78" s="50"/>
      <c r="F78" s="50"/>
      <c r="G78" s="50"/>
      <c r="H78" s="51"/>
      <c r="I78" s="52"/>
      <c r="J78" s="52"/>
      <c r="K78" s="52"/>
      <c r="L78"/>
      <c r="M78"/>
      <c r="N78"/>
      <c r="P78"/>
      <c r="Q78"/>
      <c r="R78"/>
    </row>
    <row r="79" spans="3:18" ht="24.75" customHeight="1" x14ac:dyDescent="0.25">
      <c r="C79" s="49"/>
      <c r="D79" s="50"/>
      <c r="E79" s="50"/>
      <c r="F79" s="50"/>
      <c r="G79" s="50"/>
      <c r="H79" s="51"/>
      <c r="I79" s="52"/>
      <c r="J79" s="52"/>
      <c r="K79" s="52"/>
      <c r="L79"/>
      <c r="M79"/>
      <c r="N79"/>
      <c r="P79"/>
      <c r="Q79"/>
      <c r="R79"/>
    </row>
    <row r="80" spans="3:18" ht="24.75" customHeight="1" x14ac:dyDescent="0.25">
      <c r="C80" s="49"/>
      <c r="D80" s="50"/>
      <c r="E80" s="50"/>
      <c r="F80" s="50"/>
      <c r="G80" s="50"/>
      <c r="H80" s="51"/>
      <c r="I80" s="52"/>
      <c r="J80" s="52"/>
      <c r="K80" s="52"/>
      <c r="L80"/>
      <c r="M80"/>
      <c r="N80"/>
      <c r="P80"/>
      <c r="Q80"/>
      <c r="R80"/>
    </row>
    <row r="81" spans="3:18" ht="24.75" customHeight="1" x14ac:dyDescent="0.25">
      <c r="C81" s="49"/>
      <c r="D81" s="50"/>
      <c r="E81" s="50"/>
      <c r="F81" s="50"/>
      <c r="G81" s="50"/>
      <c r="H81" s="51"/>
      <c r="I81" s="52"/>
      <c r="J81" s="52"/>
      <c r="K81" s="52"/>
      <c r="L81"/>
      <c r="M81"/>
      <c r="N81"/>
      <c r="P81"/>
      <c r="Q81"/>
      <c r="R81"/>
    </row>
    <row r="82" spans="3:18" ht="24.75" customHeight="1" x14ac:dyDescent="0.25">
      <c r="C82" s="49"/>
      <c r="D82" s="50"/>
      <c r="E82" s="50"/>
      <c r="F82" s="50"/>
      <c r="G82" s="50"/>
      <c r="H82" s="51"/>
      <c r="I82" s="52"/>
      <c r="J82" s="52"/>
      <c r="K82" s="52"/>
      <c r="L82"/>
      <c r="M82"/>
      <c r="N82"/>
      <c r="P82"/>
      <c r="Q82"/>
      <c r="R82"/>
    </row>
    <row r="83" spans="3:18" ht="24.75" customHeight="1" x14ac:dyDescent="0.25">
      <c r="C83" s="49"/>
      <c r="D83" s="50"/>
      <c r="E83" s="50"/>
      <c r="F83" s="50"/>
      <c r="G83" s="50"/>
      <c r="H83" s="51"/>
      <c r="I83" s="52"/>
      <c r="J83" s="52"/>
      <c r="K83" s="52"/>
      <c r="L83"/>
      <c r="M83"/>
      <c r="N83"/>
      <c r="P83"/>
      <c r="Q83"/>
      <c r="R83"/>
    </row>
    <row r="84" spans="3:18" ht="24.75" customHeight="1" x14ac:dyDescent="0.25">
      <c r="C84" s="49"/>
      <c r="D84" s="50"/>
      <c r="E84" s="50"/>
      <c r="F84" s="50"/>
      <c r="G84" s="50"/>
      <c r="H84" s="51"/>
      <c r="I84" s="52"/>
      <c r="J84" s="52"/>
      <c r="K84" s="52"/>
      <c r="L84"/>
      <c r="M84"/>
      <c r="N84"/>
      <c r="P84"/>
      <c r="Q84"/>
      <c r="R84"/>
    </row>
    <row r="85" spans="3:18" ht="24.75" customHeight="1" x14ac:dyDescent="0.25">
      <c r="C85" s="49"/>
      <c r="D85" s="50"/>
      <c r="E85" s="50"/>
      <c r="F85" s="50"/>
      <c r="G85" s="50"/>
      <c r="H85" s="51"/>
      <c r="I85" s="52"/>
      <c r="J85" s="52"/>
      <c r="K85" s="52"/>
      <c r="L85"/>
      <c r="M85"/>
      <c r="N85"/>
      <c r="P85"/>
      <c r="Q85"/>
      <c r="R85"/>
    </row>
    <row r="86" spans="3:18" ht="24.75" customHeight="1" x14ac:dyDescent="0.25">
      <c r="C86" s="49"/>
      <c r="D86" s="50"/>
      <c r="E86" s="50"/>
      <c r="F86" s="50"/>
      <c r="G86" s="50"/>
      <c r="H86" s="51"/>
      <c r="I86" s="52"/>
      <c r="J86" s="52"/>
      <c r="K86" s="52"/>
      <c r="L86"/>
      <c r="M86"/>
      <c r="N86"/>
      <c r="P86"/>
      <c r="Q86"/>
      <c r="R86"/>
    </row>
    <row r="87" spans="3:18" ht="24.75" customHeight="1" x14ac:dyDescent="0.25">
      <c r="C87" s="49"/>
      <c r="D87" s="50"/>
      <c r="E87" s="50"/>
      <c r="F87" s="50"/>
      <c r="G87" s="50"/>
      <c r="H87" s="51"/>
      <c r="I87" s="52"/>
      <c r="J87" s="52"/>
      <c r="K87" s="52"/>
      <c r="L87"/>
      <c r="M87"/>
      <c r="N87"/>
      <c r="P87"/>
      <c r="Q87"/>
      <c r="R87"/>
    </row>
    <row r="88" spans="3:18" ht="24.75" customHeight="1" x14ac:dyDescent="0.25">
      <c r="C88" s="49"/>
      <c r="D88" s="50"/>
      <c r="E88" s="50"/>
      <c r="F88" s="50"/>
      <c r="G88" s="50"/>
      <c r="H88" s="51"/>
      <c r="I88" s="52"/>
      <c r="J88" s="52"/>
      <c r="K88" s="52"/>
      <c r="L88"/>
      <c r="M88"/>
      <c r="N88"/>
      <c r="P88"/>
      <c r="Q88"/>
      <c r="R88"/>
    </row>
    <row r="89" spans="3:18" ht="24.75" customHeight="1" x14ac:dyDescent="0.25">
      <c r="C89" s="49"/>
      <c r="D89" s="50"/>
      <c r="E89" s="50"/>
      <c r="F89" s="50"/>
      <c r="G89" s="50"/>
      <c r="H89" s="51"/>
      <c r="I89" s="52"/>
      <c r="J89" s="52"/>
      <c r="K89" s="52"/>
      <c r="L89"/>
      <c r="M89"/>
      <c r="N89"/>
      <c r="P89"/>
      <c r="Q89"/>
      <c r="R89"/>
    </row>
    <row r="90" spans="3:18" ht="24.75" customHeight="1" x14ac:dyDescent="0.25">
      <c r="C90" s="49"/>
      <c r="D90" s="50"/>
      <c r="E90" s="50"/>
      <c r="F90" s="50"/>
      <c r="G90" s="50"/>
      <c r="H90" s="51"/>
      <c r="I90" s="52"/>
      <c r="J90" s="52"/>
      <c r="K90" s="52"/>
      <c r="L90"/>
      <c r="M90"/>
      <c r="N90"/>
      <c r="P90"/>
      <c r="Q90"/>
      <c r="R90"/>
    </row>
    <row r="91" spans="3:18" ht="24.75" customHeight="1" x14ac:dyDescent="0.25">
      <c r="C91" s="49"/>
      <c r="D91" s="50"/>
      <c r="E91" s="50"/>
      <c r="F91" s="50"/>
      <c r="G91" s="50"/>
      <c r="H91" s="51"/>
      <c r="I91" s="52"/>
      <c r="J91" s="52"/>
      <c r="K91" s="52"/>
      <c r="L91"/>
      <c r="M91"/>
      <c r="N91"/>
      <c r="P91"/>
      <c r="Q91"/>
      <c r="R91"/>
    </row>
    <row r="92" spans="3:18" ht="24.75" customHeight="1" x14ac:dyDescent="0.25">
      <c r="C92" s="49"/>
      <c r="D92" s="50"/>
      <c r="E92" s="50"/>
      <c r="F92" s="50"/>
      <c r="G92" s="50"/>
      <c r="H92" s="51"/>
      <c r="I92" s="52"/>
      <c r="J92" s="52"/>
      <c r="K92" s="52"/>
      <c r="L92"/>
      <c r="M92"/>
      <c r="N92"/>
      <c r="P92"/>
      <c r="Q92"/>
      <c r="R92"/>
    </row>
    <row r="93" spans="3:18" ht="24.75" customHeight="1" x14ac:dyDescent="0.25">
      <c r="C93" s="49"/>
      <c r="D93" s="50"/>
      <c r="E93" s="50"/>
      <c r="F93" s="50"/>
      <c r="G93" s="50"/>
      <c r="H93" s="51"/>
      <c r="I93" s="52"/>
      <c r="J93" s="52"/>
      <c r="K93" s="52"/>
      <c r="L93"/>
      <c r="M93"/>
      <c r="N93"/>
      <c r="P93"/>
      <c r="Q93"/>
      <c r="R93"/>
    </row>
    <row r="94" spans="3:18" ht="24.75" customHeight="1" x14ac:dyDescent="0.25">
      <c r="C94" s="49"/>
      <c r="D94" s="50"/>
      <c r="E94" s="50"/>
      <c r="F94" s="50"/>
      <c r="G94" s="50"/>
      <c r="H94" s="51"/>
      <c r="I94" s="52"/>
      <c r="J94" s="52"/>
      <c r="K94" s="52"/>
      <c r="L94"/>
      <c r="M94"/>
      <c r="N94"/>
      <c r="P94"/>
      <c r="Q94"/>
      <c r="R94"/>
    </row>
    <row r="95" spans="3:18" ht="24.75" customHeight="1" x14ac:dyDescent="0.25">
      <c r="C95" s="49"/>
      <c r="D95" s="50"/>
      <c r="E95" s="50"/>
      <c r="F95" s="50"/>
      <c r="G95" s="50"/>
      <c r="H95" s="51"/>
      <c r="I95" s="52"/>
      <c r="J95" s="52"/>
      <c r="K95" s="52"/>
      <c r="L95"/>
      <c r="M95"/>
      <c r="N95"/>
      <c r="P95"/>
      <c r="Q95"/>
      <c r="R95"/>
    </row>
    <row r="96" spans="3:18" ht="24.75" customHeight="1" x14ac:dyDescent="0.25">
      <c r="C96" s="49"/>
      <c r="D96" s="50"/>
      <c r="E96" s="50"/>
      <c r="F96" s="50"/>
      <c r="G96" s="50"/>
      <c r="H96" s="51"/>
      <c r="I96" s="52"/>
      <c r="J96" s="52"/>
      <c r="K96" s="52"/>
      <c r="L96"/>
      <c r="M96"/>
      <c r="N96"/>
      <c r="P96"/>
      <c r="Q96"/>
      <c r="R96"/>
    </row>
    <row r="97" spans="3:18" ht="24.75" customHeight="1" x14ac:dyDescent="0.25">
      <c r="C97" s="49"/>
      <c r="D97" s="50"/>
      <c r="E97" s="50"/>
      <c r="F97" s="50"/>
      <c r="G97" s="50"/>
      <c r="H97" s="51"/>
      <c r="I97" s="52"/>
      <c r="J97" s="52"/>
      <c r="K97" s="52"/>
      <c r="L97"/>
      <c r="M97"/>
      <c r="N97"/>
      <c r="P97"/>
      <c r="Q97"/>
      <c r="R97"/>
    </row>
    <row r="98" spans="3:18" ht="24.75" customHeight="1" x14ac:dyDescent="0.25">
      <c r="C98" s="49"/>
      <c r="D98" s="50"/>
      <c r="E98" s="50"/>
      <c r="F98" s="50"/>
      <c r="G98" s="50"/>
      <c r="H98" s="51"/>
      <c r="I98" s="52"/>
      <c r="J98" s="52"/>
      <c r="K98" s="52"/>
      <c r="L98"/>
      <c r="M98"/>
      <c r="N98"/>
      <c r="P98"/>
      <c r="Q98"/>
      <c r="R98"/>
    </row>
    <row r="99" spans="3:18" ht="24.75" customHeight="1" x14ac:dyDescent="0.25">
      <c r="C99" s="49"/>
      <c r="D99" s="50"/>
      <c r="E99" s="50"/>
      <c r="F99" s="50"/>
      <c r="G99" s="50"/>
      <c r="H99" s="51"/>
      <c r="I99" s="52"/>
      <c r="J99" s="52"/>
      <c r="K99" s="52"/>
      <c r="L99"/>
      <c r="M99"/>
      <c r="N99"/>
      <c r="P99"/>
      <c r="Q99"/>
      <c r="R99"/>
    </row>
    <row r="100" spans="3:18" ht="24.75" customHeight="1" x14ac:dyDescent="0.25">
      <c r="C100" s="49"/>
      <c r="D100" s="50"/>
      <c r="E100" s="50"/>
      <c r="F100" s="50"/>
      <c r="G100" s="50"/>
      <c r="H100" s="51"/>
      <c r="I100" s="52"/>
      <c r="J100" s="52"/>
      <c r="K100" s="52"/>
      <c r="L100"/>
      <c r="M100"/>
      <c r="N100"/>
      <c r="P100"/>
      <c r="Q100"/>
      <c r="R100"/>
    </row>
    <row r="101" spans="3:18" ht="24.75" customHeight="1" x14ac:dyDescent="0.25">
      <c r="C101" s="49"/>
      <c r="D101" s="50"/>
      <c r="E101" s="50"/>
      <c r="F101" s="50"/>
      <c r="G101" s="50"/>
      <c r="H101" s="51"/>
      <c r="I101" s="52"/>
      <c r="J101" s="52"/>
      <c r="K101" s="52"/>
      <c r="L101"/>
      <c r="M101"/>
      <c r="N101"/>
      <c r="P101"/>
      <c r="Q101"/>
      <c r="R101"/>
    </row>
    <row r="102" spans="3:18" ht="24.75" customHeight="1" x14ac:dyDescent="0.25">
      <c r="C102" s="49"/>
      <c r="D102" s="50"/>
      <c r="E102" s="50"/>
      <c r="F102" s="50"/>
      <c r="G102" s="50"/>
      <c r="H102" s="51"/>
      <c r="I102" s="52"/>
      <c r="J102" s="52"/>
      <c r="K102" s="52"/>
      <c r="L102"/>
      <c r="M102"/>
      <c r="N102"/>
      <c r="P102"/>
      <c r="Q102"/>
      <c r="R102"/>
    </row>
    <row r="103" spans="3:18" ht="24.75" customHeight="1" x14ac:dyDescent="0.25">
      <c r="C103" s="49"/>
      <c r="D103" s="50"/>
      <c r="E103" s="50"/>
      <c r="F103" s="50"/>
      <c r="G103" s="50"/>
      <c r="H103" s="51"/>
      <c r="I103" s="52"/>
      <c r="J103" s="52"/>
      <c r="K103" s="52"/>
      <c r="L103"/>
      <c r="M103"/>
      <c r="N103"/>
      <c r="P103"/>
      <c r="Q103"/>
      <c r="R103"/>
    </row>
    <row r="104" spans="3:18" ht="24.75" customHeight="1" x14ac:dyDescent="0.25">
      <c r="C104" s="49"/>
      <c r="D104" s="50"/>
      <c r="E104" s="50"/>
      <c r="F104" s="50"/>
      <c r="G104" s="50"/>
      <c r="H104" s="51"/>
      <c r="I104" s="52"/>
      <c r="J104" s="52"/>
      <c r="K104" s="52"/>
      <c r="L104"/>
      <c r="M104"/>
      <c r="N104"/>
      <c r="P104"/>
      <c r="Q104"/>
      <c r="R104"/>
    </row>
    <row r="105" spans="3:18" ht="24.75" customHeight="1" x14ac:dyDescent="0.25">
      <c r="C105" s="49"/>
      <c r="D105" s="50"/>
      <c r="E105" s="50"/>
      <c r="F105" s="50"/>
      <c r="G105" s="50"/>
      <c r="H105" s="51"/>
      <c r="I105" s="52"/>
      <c r="J105" s="52"/>
      <c r="K105" s="52"/>
      <c r="L105"/>
      <c r="M105"/>
      <c r="N105"/>
      <c r="P105"/>
      <c r="Q105"/>
      <c r="R105"/>
    </row>
    <row r="106" spans="3:18" ht="24.75" customHeight="1" x14ac:dyDescent="0.25">
      <c r="C106" s="49"/>
      <c r="D106" s="50"/>
      <c r="E106" s="50"/>
      <c r="F106" s="50"/>
      <c r="G106" s="50"/>
      <c r="H106" s="51"/>
      <c r="I106" s="52"/>
      <c r="J106" s="52"/>
      <c r="K106" s="52"/>
      <c r="L106"/>
      <c r="M106"/>
      <c r="N106"/>
      <c r="P106"/>
      <c r="Q106"/>
      <c r="R106"/>
    </row>
    <row r="107" spans="3:18" ht="24.75" customHeight="1" x14ac:dyDescent="0.25">
      <c r="C107" s="49"/>
      <c r="D107" s="50"/>
      <c r="E107" s="50"/>
      <c r="F107" s="50"/>
      <c r="G107" s="50"/>
      <c r="H107" s="51"/>
      <c r="I107" s="52"/>
      <c r="J107" s="52"/>
      <c r="K107" s="52"/>
      <c r="L107"/>
      <c r="M107"/>
      <c r="N107"/>
      <c r="P107"/>
      <c r="Q107"/>
      <c r="R107"/>
    </row>
  </sheetData>
  <sheetProtection password="EFEB" sheet="1" objects="1" scenarios="1"/>
  <mergeCells count="6">
    <mergeCell ref="D28:J28"/>
    <mergeCell ref="B2:R2"/>
    <mergeCell ref="L3:N3"/>
    <mergeCell ref="P3:R3"/>
    <mergeCell ref="I4:K4"/>
    <mergeCell ref="D26:J26"/>
  </mergeCell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B2:AJ106"/>
  <sheetViews>
    <sheetView topLeftCell="A3" workbookViewId="0">
      <selection activeCell="E4" sqref="E4"/>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2" width="14.5703125" style="4" customWidth="1"/>
    <col min="13" max="14" width="14.85546875" style="4" customWidth="1"/>
    <col min="15" max="15" width="16"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3" width="14.5703125" customWidth="1"/>
    <col min="264"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19" width="14.5703125" customWidth="1"/>
    <col min="520"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5" width="14.5703125" customWidth="1"/>
    <col min="776"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1" width="14.5703125" customWidth="1"/>
    <col min="1032"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7" width="14.5703125" customWidth="1"/>
    <col min="1288"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3" width="14.5703125" customWidth="1"/>
    <col min="1544"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799" width="14.5703125" customWidth="1"/>
    <col min="1800"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5" width="14.5703125" customWidth="1"/>
    <col min="2056"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1" width="14.5703125" customWidth="1"/>
    <col min="2312"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7" width="14.5703125" customWidth="1"/>
    <col min="2568"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3" width="14.5703125" customWidth="1"/>
    <col min="2824"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79" width="14.5703125" customWidth="1"/>
    <col min="3080"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5" width="14.5703125" customWidth="1"/>
    <col min="3336"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1" width="14.5703125" customWidth="1"/>
    <col min="3592"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7" width="14.5703125" customWidth="1"/>
    <col min="3848"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3" width="14.5703125" customWidth="1"/>
    <col min="4104"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59" width="14.5703125" customWidth="1"/>
    <col min="4360"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5" width="14.5703125" customWidth="1"/>
    <col min="4616"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1" width="14.5703125" customWidth="1"/>
    <col min="4872"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7" width="14.5703125" customWidth="1"/>
    <col min="5128"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3" width="14.5703125" customWidth="1"/>
    <col min="5384"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39" width="14.5703125" customWidth="1"/>
    <col min="5640"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5" width="14.5703125" customWidth="1"/>
    <col min="5896"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1" width="14.5703125" customWidth="1"/>
    <col min="6152"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7" width="14.5703125" customWidth="1"/>
    <col min="6408"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3" width="14.5703125" customWidth="1"/>
    <col min="6664"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19" width="14.5703125" customWidth="1"/>
    <col min="6920"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5" width="14.5703125" customWidth="1"/>
    <col min="7176"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1" width="14.5703125" customWidth="1"/>
    <col min="7432"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7" width="14.5703125" customWidth="1"/>
    <col min="7688"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3" width="14.5703125" customWidth="1"/>
    <col min="7944"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199" width="14.5703125" customWidth="1"/>
    <col min="8200"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5" width="14.5703125" customWidth="1"/>
    <col min="8456"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1" width="14.5703125" customWidth="1"/>
    <col min="8712"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7" width="14.5703125" customWidth="1"/>
    <col min="8968"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3" width="14.5703125" customWidth="1"/>
    <col min="9224"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79" width="14.5703125" customWidth="1"/>
    <col min="9480"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5" width="14.5703125" customWidth="1"/>
    <col min="9736"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1" width="14.5703125" customWidth="1"/>
    <col min="9992"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7" width="14.5703125" customWidth="1"/>
    <col min="10248"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3" width="14.5703125" customWidth="1"/>
    <col min="10504"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59" width="14.5703125" customWidth="1"/>
    <col min="10760"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5" width="14.5703125" customWidth="1"/>
    <col min="11016"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1" width="14.5703125" customWidth="1"/>
    <col min="11272"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7" width="14.5703125" customWidth="1"/>
    <col min="11528"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3" width="14.5703125" customWidth="1"/>
    <col min="11784"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39" width="14.5703125" customWidth="1"/>
    <col min="12040"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5" width="14.5703125" customWidth="1"/>
    <col min="12296"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1" width="14.5703125" customWidth="1"/>
    <col min="12552"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7" width="14.5703125" customWidth="1"/>
    <col min="12808"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3" width="14.5703125" customWidth="1"/>
    <col min="13064"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19" width="14.5703125" customWidth="1"/>
    <col min="13320"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5" width="14.5703125" customWidth="1"/>
    <col min="13576"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1" width="14.5703125" customWidth="1"/>
    <col min="13832"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7" width="14.5703125" customWidth="1"/>
    <col min="14088"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3" width="14.5703125" customWidth="1"/>
    <col min="14344"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599" width="14.5703125" customWidth="1"/>
    <col min="14600"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5" width="14.5703125" customWidth="1"/>
    <col min="14856"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1" width="14.5703125" customWidth="1"/>
    <col min="15112"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7" width="14.5703125" customWidth="1"/>
    <col min="15368"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3" width="14.5703125" customWidth="1"/>
    <col min="15624"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79" width="14.5703125" customWidth="1"/>
    <col min="15880"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5" width="14.5703125" customWidth="1"/>
    <col min="16136"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2" spans="2:36" ht="22.5" customHeight="1" thickBot="1" x14ac:dyDescent="0.3">
      <c r="B2" s="287" t="s">
        <v>596</v>
      </c>
      <c r="C2" s="287"/>
      <c r="D2" s="287"/>
      <c r="E2" s="287"/>
      <c r="F2" s="287"/>
      <c r="G2" s="287"/>
      <c r="H2" s="287"/>
      <c r="I2" s="287"/>
      <c r="J2" s="287"/>
      <c r="K2" s="287"/>
      <c r="L2" s="296"/>
      <c r="M2" s="296"/>
      <c r="N2" s="296"/>
      <c r="O2" s="296"/>
      <c r="P2" s="296"/>
      <c r="Q2" s="296"/>
      <c r="R2" s="296"/>
    </row>
    <row r="3" spans="2:36" s="7" customFormat="1" ht="32.25" customHeight="1" thickBot="1" x14ac:dyDescent="0.3">
      <c r="B3" s="89"/>
      <c r="C3" s="89"/>
      <c r="D3" s="89"/>
      <c r="E3" s="184"/>
      <c r="F3" s="184"/>
      <c r="G3" s="184"/>
      <c r="H3" s="89"/>
      <c r="I3" s="89"/>
      <c r="J3" s="89"/>
      <c r="K3" s="89"/>
      <c r="L3" s="290" t="s">
        <v>310</v>
      </c>
      <c r="M3" s="291"/>
      <c r="N3" s="292"/>
      <c r="O3" s="94" t="s">
        <v>317</v>
      </c>
      <c r="P3" s="291" t="s">
        <v>318</v>
      </c>
      <c r="Q3" s="291"/>
      <c r="R3" s="292"/>
      <c r="S3" s="8"/>
      <c r="T3" s="8"/>
      <c r="U3" s="8"/>
      <c r="V3" s="8"/>
      <c r="W3" s="8"/>
      <c r="X3" s="8"/>
      <c r="Y3" s="8"/>
      <c r="Z3" s="8"/>
      <c r="AA3" s="8"/>
      <c r="AB3" s="8"/>
      <c r="AC3" s="8"/>
      <c r="AD3" s="8"/>
      <c r="AE3" s="8"/>
      <c r="AF3" s="8"/>
      <c r="AG3" s="8"/>
      <c r="AH3" s="8"/>
      <c r="AI3" s="8"/>
      <c r="AJ3" s="8"/>
    </row>
    <row r="4" spans="2:36" ht="26.25" thickBot="1" x14ac:dyDescent="0.3">
      <c r="B4" s="200" t="s">
        <v>0</v>
      </c>
      <c r="C4" s="201" t="s">
        <v>466</v>
      </c>
      <c r="D4" s="185" t="s">
        <v>1</v>
      </c>
      <c r="E4" s="202" t="s">
        <v>463</v>
      </c>
      <c r="F4" s="203" t="s">
        <v>465</v>
      </c>
      <c r="G4" s="202" t="s">
        <v>464</v>
      </c>
      <c r="H4" s="185" t="s">
        <v>2</v>
      </c>
      <c r="I4" s="293" t="s">
        <v>3</v>
      </c>
      <c r="J4" s="294"/>
      <c r="K4" s="295"/>
      <c r="L4" s="204" t="s">
        <v>311</v>
      </c>
      <c r="M4" s="205" t="s">
        <v>312</v>
      </c>
      <c r="N4" s="204" t="s">
        <v>313</v>
      </c>
      <c r="O4" s="206" t="s">
        <v>319</v>
      </c>
      <c r="P4" s="207" t="s">
        <v>4</v>
      </c>
      <c r="Q4" s="209" t="s">
        <v>5</v>
      </c>
      <c r="R4" s="208" t="s">
        <v>6</v>
      </c>
    </row>
    <row r="5" spans="2:36" s="17" customFormat="1" ht="45.75" customHeight="1" x14ac:dyDescent="0.2">
      <c r="B5" s="118">
        <v>1</v>
      </c>
      <c r="C5" s="119" t="s">
        <v>7</v>
      </c>
      <c r="D5" s="190" t="s">
        <v>8</v>
      </c>
      <c r="E5" s="198" t="s">
        <v>474</v>
      </c>
      <c r="F5" s="192" t="s">
        <v>467</v>
      </c>
      <c r="G5" s="120" t="str">
        <f>UPPER(F5)</f>
        <v>PARTICIPAR DE REUNIÃO NO CONSELHO FEDERAL DE MEDICINA PARA DISCUTIR A REVISÃO A RESOLUÇÃO CFM Nº 1955/2010, QUE DISPÕE SOBRE A CIRURGIA DE TRANSGENITALISMO. </v>
      </c>
      <c r="H5" s="120" t="s">
        <v>9</v>
      </c>
      <c r="I5" s="121">
        <v>43101</v>
      </c>
      <c r="J5" s="122">
        <v>10</v>
      </c>
      <c r="K5" s="123">
        <v>10</v>
      </c>
      <c r="L5" s="148">
        <v>60</v>
      </c>
      <c r="M5" s="148">
        <v>0</v>
      </c>
      <c r="N5" s="148">
        <v>0</v>
      </c>
      <c r="O5" s="124">
        <v>0</v>
      </c>
      <c r="P5" s="125">
        <f>1569.8+468.03</f>
        <v>2037.83</v>
      </c>
      <c r="Q5" s="126">
        <v>0</v>
      </c>
      <c r="R5" s="127">
        <f t="shared" ref="R5:R23" si="0">L5+M5+N5+O5+P5+Q5</f>
        <v>2097.83</v>
      </c>
      <c r="S5" s="16"/>
      <c r="T5" s="16"/>
      <c r="U5" s="16"/>
      <c r="V5" s="16"/>
    </row>
    <row r="6" spans="2:36" s="17" customFormat="1" ht="22.5" x14ac:dyDescent="0.2">
      <c r="B6" s="99">
        <v>2</v>
      </c>
      <c r="C6" s="57" t="s">
        <v>10</v>
      </c>
      <c r="D6" s="189" t="s">
        <v>11</v>
      </c>
      <c r="E6" s="197" t="s">
        <v>475</v>
      </c>
      <c r="F6" s="188" t="s">
        <v>468</v>
      </c>
      <c r="G6" s="9" t="str">
        <f>UPPER(F6)</f>
        <v>REUNIÃO NO MINISTÉRIO DO PLANEJAMENTO, DESENVOLVIMENTO E GESTÃO - MP.</v>
      </c>
      <c r="H6" s="9" t="s">
        <v>9</v>
      </c>
      <c r="I6" s="18">
        <v>43101</v>
      </c>
      <c r="J6" s="10">
        <v>16</v>
      </c>
      <c r="K6" s="11">
        <v>16</v>
      </c>
      <c r="L6" s="58">
        <v>0</v>
      </c>
      <c r="M6" s="58">
        <v>88.99</v>
      </c>
      <c r="N6" s="58">
        <v>0</v>
      </c>
      <c r="O6" s="13">
        <v>0</v>
      </c>
      <c r="P6" s="14">
        <f>304.9+403.03+200</f>
        <v>907.93</v>
      </c>
      <c r="Q6" s="15">
        <v>500</v>
      </c>
      <c r="R6" s="98">
        <f t="shared" si="0"/>
        <v>1496.92</v>
      </c>
      <c r="S6" s="16"/>
      <c r="T6" s="16"/>
      <c r="U6" s="16"/>
      <c r="V6" s="16"/>
    </row>
    <row r="7" spans="2:36" s="17" customFormat="1" ht="22.5" x14ac:dyDescent="0.2">
      <c r="B7" s="99">
        <v>3</v>
      </c>
      <c r="C7" s="56" t="s">
        <v>12</v>
      </c>
      <c r="D7" s="189" t="s">
        <v>13</v>
      </c>
      <c r="E7" s="197" t="s">
        <v>476</v>
      </c>
      <c r="F7" s="193" t="s">
        <v>468</v>
      </c>
      <c r="G7" s="9" t="str">
        <f t="shared" ref="G7:G23" si="1">UPPER(F7)</f>
        <v>REUNIÃO NO MINISTÉRIO DO PLANEJAMENTO, DESENVOLVIMENTO E GESTÃO - MP.</v>
      </c>
      <c r="H7" s="9" t="s">
        <v>9</v>
      </c>
      <c r="I7" s="18">
        <v>43101</v>
      </c>
      <c r="J7" s="10">
        <v>16</v>
      </c>
      <c r="K7" s="11">
        <v>16</v>
      </c>
      <c r="L7" s="58">
        <v>22</v>
      </c>
      <c r="M7" s="58">
        <v>88.99</v>
      </c>
      <c r="N7" s="58">
        <v>0</v>
      </c>
      <c r="O7" s="13">
        <v>0</v>
      </c>
      <c r="P7" s="14">
        <f>1091.81</f>
        <v>1091.81</v>
      </c>
      <c r="Q7" s="15">
        <v>0</v>
      </c>
      <c r="R7" s="98">
        <f t="shared" si="0"/>
        <v>1202.8</v>
      </c>
      <c r="S7" s="16"/>
      <c r="T7" s="16"/>
      <c r="U7" s="16"/>
      <c r="V7" s="16"/>
    </row>
    <row r="8" spans="2:36" s="17" customFormat="1" ht="22.5" x14ac:dyDescent="0.2">
      <c r="B8" s="99">
        <v>4</v>
      </c>
      <c r="C8" s="57" t="s">
        <v>14</v>
      </c>
      <c r="D8" s="189" t="s">
        <v>15</v>
      </c>
      <c r="E8" s="197" t="s">
        <v>477</v>
      </c>
      <c r="F8" s="188" t="s">
        <v>468</v>
      </c>
      <c r="G8" s="9" t="str">
        <f t="shared" si="1"/>
        <v>REUNIÃO NO MINISTÉRIO DO PLANEJAMENTO, DESENVOLVIMENTO E GESTÃO - MP.</v>
      </c>
      <c r="H8" s="9" t="s">
        <v>9</v>
      </c>
      <c r="I8" s="18">
        <v>43101</v>
      </c>
      <c r="J8" s="10">
        <v>16</v>
      </c>
      <c r="K8" s="11">
        <v>16</v>
      </c>
      <c r="L8" s="58">
        <v>83</v>
      </c>
      <c r="M8" s="58">
        <v>96.8</v>
      </c>
      <c r="N8" s="58">
        <v>0</v>
      </c>
      <c r="O8" s="12">
        <v>26</v>
      </c>
      <c r="P8" s="14">
        <f>1091.81</f>
        <v>1091.81</v>
      </c>
      <c r="Q8" s="15">
        <v>0</v>
      </c>
      <c r="R8" s="98">
        <f t="shared" si="0"/>
        <v>1297.6099999999999</v>
      </c>
      <c r="S8" s="16"/>
      <c r="T8" s="16"/>
      <c r="U8" s="16"/>
      <c r="V8" s="16"/>
    </row>
    <row r="9" spans="2:36" s="17" customFormat="1" ht="12.75" x14ac:dyDescent="0.2">
      <c r="B9" s="99">
        <v>5</v>
      </c>
      <c r="C9" s="57" t="s">
        <v>16</v>
      </c>
      <c r="D9" s="189" t="s">
        <v>17</v>
      </c>
      <c r="E9" s="10" t="s">
        <v>478</v>
      </c>
      <c r="F9" s="194" t="s">
        <v>469</v>
      </c>
      <c r="G9" s="9" t="str">
        <f t="shared" si="1"/>
        <v>REUNIÃO DO CONSELHO DIRETOR.</v>
      </c>
      <c r="H9" s="9" t="s">
        <v>18</v>
      </c>
      <c r="I9" s="18">
        <v>43101</v>
      </c>
      <c r="J9" s="10">
        <v>21</v>
      </c>
      <c r="K9" s="11">
        <v>22</v>
      </c>
      <c r="L9" s="58">
        <v>0</v>
      </c>
      <c r="M9" s="58">
        <v>0</v>
      </c>
      <c r="N9" s="58">
        <v>0</v>
      </c>
      <c r="O9" s="12">
        <v>0</v>
      </c>
      <c r="P9" s="14">
        <f>640.03+1278.68</f>
        <v>1918.71</v>
      </c>
      <c r="Q9" s="15">
        <v>284.89999999999998</v>
      </c>
      <c r="R9" s="98">
        <f t="shared" si="0"/>
        <v>2203.61</v>
      </c>
      <c r="S9" s="16"/>
      <c r="T9" s="16"/>
      <c r="U9" s="16"/>
      <c r="V9" s="16"/>
    </row>
    <row r="10" spans="2:36" s="17" customFormat="1" ht="12.75" x14ac:dyDescent="0.2">
      <c r="B10" s="99">
        <v>6</v>
      </c>
      <c r="C10" s="57" t="s">
        <v>19</v>
      </c>
      <c r="D10" s="189" t="s">
        <v>20</v>
      </c>
      <c r="E10" s="10" t="s">
        <v>478</v>
      </c>
      <c r="F10" s="194" t="s">
        <v>469</v>
      </c>
      <c r="G10" s="9" t="str">
        <f t="shared" si="1"/>
        <v>REUNIÃO DO CONSELHO DIRETOR.</v>
      </c>
      <c r="H10" s="9" t="s">
        <v>21</v>
      </c>
      <c r="I10" s="18">
        <v>43101</v>
      </c>
      <c r="J10" s="10">
        <v>21</v>
      </c>
      <c r="K10" s="11">
        <v>22</v>
      </c>
      <c r="L10" s="58">
        <v>0</v>
      </c>
      <c r="M10" s="58">
        <v>0</v>
      </c>
      <c r="N10" s="58">
        <v>0</v>
      </c>
      <c r="O10" s="12">
        <v>0</v>
      </c>
      <c r="P10" s="14">
        <f>1247.87+1468.68</f>
        <v>2716.55</v>
      </c>
      <c r="Q10" s="15">
        <f>284.9+68.09</f>
        <v>352.99</v>
      </c>
      <c r="R10" s="98">
        <f t="shared" si="0"/>
        <v>3069.54</v>
      </c>
      <c r="S10" s="16"/>
      <c r="T10" s="16"/>
      <c r="U10" s="16"/>
      <c r="V10" s="16"/>
    </row>
    <row r="11" spans="2:36" s="17" customFormat="1" ht="12.75" x14ac:dyDescent="0.2">
      <c r="B11" s="99">
        <v>7</v>
      </c>
      <c r="C11" s="57" t="s">
        <v>22</v>
      </c>
      <c r="D11" s="189" t="s">
        <v>23</v>
      </c>
      <c r="E11" s="10" t="s">
        <v>478</v>
      </c>
      <c r="F11" s="194" t="s">
        <v>469</v>
      </c>
      <c r="G11" s="9" t="str">
        <f t="shared" si="1"/>
        <v>REUNIÃO DO CONSELHO DIRETOR.</v>
      </c>
      <c r="H11" s="9" t="s">
        <v>24</v>
      </c>
      <c r="I11" s="18">
        <v>43101</v>
      </c>
      <c r="J11" s="10">
        <v>21</v>
      </c>
      <c r="K11" s="11">
        <v>22</v>
      </c>
      <c r="L11" s="58">
        <v>0</v>
      </c>
      <c r="M11" s="58">
        <v>0</v>
      </c>
      <c r="N11" s="58">
        <v>0</v>
      </c>
      <c r="O11" s="12">
        <v>0</v>
      </c>
      <c r="P11" s="14">
        <f>2665.81</f>
        <v>2665.81</v>
      </c>
      <c r="Q11" s="15">
        <v>284.89999999999998</v>
      </c>
      <c r="R11" s="98">
        <f t="shared" si="0"/>
        <v>2950.71</v>
      </c>
      <c r="S11" s="16"/>
      <c r="T11" s="16"/>
      <c r="U11" s="16"/>
      <c r="V11" s="16"/>
    </row>
    <row r="12" spans="2:36" s="17" customFormat="1" ht="12.75" x14ac:dyDescent="0.2">
      <c r="B12" s="99">
        <v>8</v>
      </c>
      <c r="C12" s="57" t="s">
        <v>25</v>
      </c>
      <c r="D12" s="189" t="s">
        <v>26</v>
      </c>
      <c r="E12" s="10" t="s">
        <v>478</v>
      </c>
      <c r="F12" s="194" t="s">
        <v>469</v>
      </c>
      <c r="G12" s="9" t="str">
        <f t="shared" si="1"/>
        <v>REUNIÃO DO CONSELHO DIRETOR.</v>
      </c>
      <c r="H12" s="9" t="s">
        <v>24</v>
      </c>
      <c r="I12" s="18">
        <v>43101</v>
      </c>
      <c r="J12" s="10">
        <v>21</v>
      </c>
      <c r="K12" s="11">
        <v>22</v>
      </c>
      <c r="L12" s="58">
        <v>0</v>
      </c>
      <c r="M12" s="58">
        <v>0</v>
      </c>
      <c r="N12" s="58">
        <v>0</v>
      </c>
      <c r="O12" s="12">
        <v>0</v>
      </c>
      <c r="P12" s="14">
        <f>1567.93+1886.78</f>
        <v>3454.71</v>
      </c>
      <c r="Q12" s="15">
        <v>284.89999999999998</v>
      </c>
      <c r="R12" s="98">
        <f t="shared" si="0"/>
        <v>3739.61</v>
      </c>
      <c r="S12" s="16"/>
      <c r="T12" s="16"/>
      <c r="U12" s="16"/>
      <c r="V12" s="16"/>
    </row>
    <row r="13" spans="2:36" s="17" customFormat="1" ht="33.75" x14ac:dyDescent="0.2">
      <c r="B13" s="99">
        <v>9</v>
      </c>
      <c r="C13" s="57" t="s">
        <v>27</v>
      </c>
      <c r="D13" s="24" t="s">
        <v>28</v>
      </c>
      <c r="E13" s="197" t="s">
        <v>479</v>
      </c>
      <c r="F13" s="193" t="s">
        <v>470</v>
      </c>
      <c r="G13" s="9" t="str">
        <f t="shared" si="1"/>
        <v>REUNIÃO COM DR. RODRIGO G.M. SILVESTRE, DIRETOR DO DECIIS/SCTIE/MS (DEPARTAMENTO DO COMPLEXO INDUSTRIAL E INOVAÇÃO EM SAÚDE).</v>
      </c>
      <c r="H13" s="9" t="s">
        <v>9</v>
      </c>
      <c r="I13" s="18">
        <v>43101</v>
      </c>
      <c r="J13" s="10">
        <v>16</v>
      </c>
      <c r="K13" s="11">
        <v>16</v>
      </c>
      <c r="L13" s="58">
        <v>0</v>
      </c>
      <c r="M13" s="58">
        <v>0</v>
      </c>
      <c r="N13" s="58">
        <v>0</v>
      </c>
      <c r="O13" s="12">
        <v>50</v>
      </c>
      <c r="P13" s="14">
        <f>1428.78+553.03</f>
        <v>1981.81</v>
      </c>
      <c r="Q13" s="15">
        <v>0</v>
      </c>
      <c r="R13" s="98">
        <f t="shared" si="0"/>
        <v>2031.81</v>
      </c>
      <c r="S13" s="16"/>
      <c r="T13" s="16"/>
      <c r="U13" s="16"/>
      <c r="V13" s="16"/>
    </row>
    <row r="14" spans="2:36" s="17" customFormat="1" ht="33.75" x14ac:dyDescent="0.2">
      <c r="B14" s="99">
        <v>10</v>
      </c>
      <c r="C14" s="57" t="s">
        <v>29</v>
      </c>
      <c r="D14" s="189" t="s">
        <v>30</v>
      </c>
      <c r="E14" s="197" t="s">
        <v>480</v>
      </c>
      <c r="F14" s="193" t="s">
        <v>470</v>
      </c>
      <c r="G14" s="9" t="str">
        <f t="shared" si="1"/>
        <v>REUNIÃO COM DR. RODRIGO G.M. SILVESTRE, DIRETOR DO DECIIS/SCTIE/MS (DEPARTAMENTO DO COMPLEXO INDUSTRIAL E INOVAÇÃO EM SAÚDE).</v>
      </c>
      <c r="H14" s="9" t="s">
        <v>9</v>
      </c>
      <c r="I14" s="18">
        <v>43101</v>
      </c>
      <c r="J14" s="10">
        <v>16</v>
      </c>
      <c r="K14" s="11">
        <v>16</v>
      </c>
      <c r="L14" s="58">
        <v>0</v>
      </c>
      <c r="M14" s="58">
        <v>0</v>
      </c>
      <c r="N14" s="58">
        <v>0</v>
      </c>
      <c r="O14" s="12">
        <v>0</v>
      </c>
      <c r="P14" s="14">
        <f>1428.78+553.03</f>
        <v>1981.81</v>
      </c>
      <c r="Q14" s="15">
        <v>0</v>
      </c>
      <c r="R14" s="98">
        <f t="shared" si="0"/>
        <v>1981.81</v>
      </c>
      <c r="S14" s="16"/>
      <c r="T14" s="16"/>
      <c r="U14" s="16"/>
      <c r="V14" s="16"/>
    </row>
    <row r="15" spans="2:36" s="17" customFormat="1" ht="22.5" x14ac:dyDescent="0.2">
      <c r="B15" s="99">
        <v>11</v>
      </c>
      <c r="C15" s="56" t="s">
        <v>31</v>
      </c>
      <c r="D15" s="189" t="s">
        <v>32</v>
      </c>
      <c r="E15" s="197" t="s">
        <v>481</v>
      </c>
      <c r="F15" s="193" t="s">
        <v>468</v>
      </c>
      <c r="G15" s="9" t="str">
        <f t="shared" si="1"/>
        <v>REUNIÃO NO MINISTÉRIO DO PLANEJAMENTO, DESENVOLVIMENTO E GESTÃO - MP.</v>
      </c>
      <c r="H15" s="9" t="s">
        <v>9</v>
      </c>
      <c r="I15" s="18">
        <v>43101</v>
      </c>
      <c r="J15" s="10">
        <v>15</v>
      </c>
      <c r="K15" s="11">
        <v>16</v>
      </c>
      <c r="L15" s="58">
        <v>60</v>
      </c>
      <c r="M15" s="58">
        <f>95.48</f>
        <v>95.48</v>
      </c>
      <c r="N15" s="58">
        <v>0</v>
      </c>
      <c r="O15" s="12">
        <f>56+10+45</f>
        <v>111</v>
      </c>
      <c r="P15" s="14">
        <f>1141.61</f>
        <v>1141.6099999999999</v>
      </c>
      <c r="Q15" s="15">
        <f>407.72+110.89</f>
        <v>518.61</v>
      </c>
      <c r="R15" s="98">
        <f t="shared" si="0"/>
        <v>1926.6999999999998</v>
      </c>
      <c r="S15" s="16"/>
      <c r="T15" s="16"/>
      <c r="U15" s="16"/>
      <c r="V15" s="16"/>
    </row>
    <row r="16" spans="2:36" s="17" customFormat="1" ht="12.75" x14ac:dyDescent="0.2">
      <c r="B16" s="99">
        <v>12</v>
      </c>
      <c r="C16" s="56" t="s">
        <v>33</v>
      </c>
      <c r="D16" s="189" t="s">
        <v>34</v>
      </c>
      <c r="E16" s="10" t="s">
        <v>482</v>
      </c>
      <c r="F16" s="195" t="s">
        <v>471</v>
      </c>
      <c r="G16" s="9" t="str">
        <f t="shared" si="1"/>
        <v>REUNIÃO DO CONSELHO FISCAL</v>
      </c>
      <c r="H16" s="9" t="s">
        <v>24</v>
      </c>
      <c r="I16" s="18">
        <v>43102</v>
      </c>
      <c r="J16" s="10">
        <v>25</v>
      </c>
      <c r="K16" s="11">
        <v>26</v>
      </c>
      <c r="L16" s="58">
        <v>0</v>
      </c>
      <c r="M16" s="58">
        <v>194</v>
      </c>
      <c r="N16" s="58">
        <v>0</v>
      </c>
      <c r="O16" s="12">
        <f>14+12</f>
        <v>26</v>
      </c>
      <c r="P16" s="14">
        <f>2555.61+170</f>
        <v>2725.61</v>
      </c>
      <c r="Q16" s="15">
        <f>317.9+13</f>
        <v>330.9</v>
      </c>
      <c r="R16" s="98">
        <f t="shared" si="0"/>
        <v>3276.51</v>
      </c>
      <c r="S16" s="16"/>
      <c r="T16" s="16"/>
      <c r="U16" s="16"/>
      <c r="V16" s="16"/>
    </row>
    <row r="17" spans="2:22" s="17" customFormat="1" ht="12.75" x14ac:dyDescent="0.2">
      <c r="B17" s="99">
        <v>13</v>
      </c>
      <c r="C17" s="56" t="s">
        <v>35</v>
      </c>
      <c r="D17" s="189" t="s">
        <v>36</v>
      </c>
      <c r="E17" s="10" t="s">
        <v>483</v>
      </c>
      <c r="F17" s="195" t="s">
        <v>471</v>
      </c>
      <c r="G17" s="9" t="str">
        <f t="shared" si="1"/>
        <v>REUNIÃO DO CONSELHO FISCAL</v>
      </c>
      <c r="H17" s="9" t="s">
        <v>24</v>
      </c>
      <c r="I17" s="18">
        <v>43101</v>
      </c>
      <c r="J17" s="10">
        <v>25</v>
      </c>
      <c r="K17" s="11">
        <v>26</v>
      </c>
      <c r="L17" s="58">
        <v>73</v>
      </c>
      <c r="M17" s="58">
        <f>194</f>
        <v>194</v>
      </c>
      <c r="N17" s="58">
        <v>0</v>
      </c>
      <c r="O17" s="12">
        <v>0</v>
      </c>
      <c r="P17" s="14">
        <f>2775.61+170</f>
        <v>2945.61</v>
      </c>
      <c r="Q17" s="15">
        <f>317.9+26</f>
        <v>343.9</v>
      </c>
      <c r="R17" s="98">
        <f t="shared" si="0"/>
        <v>3556.51</v>
      </c>
      <c r="S17" s="16"/>
      <c r="T17" s="16"/>
      <c r="U17" s="16"/>
      <c r="V17" s="16"/>
    </row>
    <row r="18" spans="2:22" s="17" customFormat="1" ht="12.75" x14ac:dyDescent="0.2">
      <c r="B18" s="99">
        <v>14</v>
      </c>
      <c r="C18" s="56" t="s">
        <v>37</v>
      </c>
      <c r="D18" s="189" t="s">
        <v>38</v>
      </c>
      <c r="E18" s="10" t="s">
        <v>483</v>
      </c>
      <c r="F18" s="195" t="s">
        <v>471</v>
      </c>
      <c r="G18" s="9" t="str">
        <f t="shared" si="1"/>
        <v>REUNIÃO DO CONSELHO FISCAL</v>
      </c>
      <c r="H18" s="9" t="s">
        <v>24</v>
      </c>
      <c r="I18" s="18">
        <v>43101</v>
      </c>
      <c r="J18" s="10">
        <v>25</v>
      </c>
      <c r="K18" s="11">
        <v>26</v>
      </c>
      <c r="L18" s="58">
        <v>0</v>
      </c>
      <c r="M18" s="58">
        <v>194</v>
      </c>
      <c r="N18" s="58">
        <v>0</v>
      </c>
      <c r="O18" s="12">
        <v>29.62</v>
      </c>
      <c r="P18" s="14">
        <f>2775.61+170</f>
        <v>2945.61</v>
      </c>
      <c r="Q18" s="15">
        <f>317.9+6.5</f>
        <v>324.39999999999998</v>
      </c>
      <c r="R18" s="98">
        <f t="shared" si="0"/>
        <v>3493.63</v>
      </c>
      <c r="S18" s="16"/>
      <c r="T18" s="16"/>
      <c r="U18" s="16"/>
      <c r="V18" s="16"/>
    </row>
    <row r="19" spans="2:22" s="17" customFormat="1" ht="27" customHeight="1" x14ac:dyDescent="0.2">
      <c r="B19" s="99">
        <v>15</v>
      </c>
      <c r="C19" s="56" t="s">
        <v>461</v>
      </c>
      <c r="D19" s="189" t="s">
        <v>32</v>
      </c>
      <c r="E19" s="197" t="s">
        <v>481</v>
      </c>
      <c r="F19" s="195" t="s">
        <v>472</v>
      </c>
      <c r="G19" s="9" t="str">
        <f t="shared" si="1"/>
        <v xml:space="preserve">PARTICIPAR DE REUNIÃO  NO MEC, MINISTÉRIO DA SAÚDE E PGFN EM BRASILIA </v>
      </c>
      <c r="H19" s="9" t="s">
        <v>9</v>
      </c>
      <c r="I19" s="18">
        <v>43101</v>
      </c>
      <c r="J19" s="10">
        <v>30</v>
      </c>
      <c r="K19" s="11">
        <v>31</v>
      </c>
      <c r="L19" s="58">
        <v>54</v>
      </c>
      <c r="M19" s="58">
        <v>95.48</v>
      </c>
      <c r="N19" s="58">
        <v>0</v>
      </c>
      <c r="O19" s="12">
        <v>47</v>
      </c>
      <c r="P19" s="14">
        <f>887.81+1247.93</f>
        <v>2135.7399999999998</v>
      </c>
      <c r="Q19" s="15">
        <f>375.38+99.5</f>
        <v>474.88</v>
      </c>
      <c r="R19" s="98">
        <f t="shared" si="0"/>
        <v>2807.1</v>
      </c>
      <c r="S19" s="16"/>
      <c r="T19" s="16"/>
      <c r="U19" s="16"/>
      <c r="V19" s="16"/>
    </row>
    <row r="20" spans="2:22" s="17" customFormat="1" ht="22.5" x14ac:dyDescent="0.2">
      <c r="B20" s="99">
        <v>16</v>
      </c>
      <c r="C20" s="56" t="s">
        <v>39</v>
      </c>
      <c r="D20" s="189" t="s">
        <v>11</v>
      </c>
      <c r="E20" s="197" t="s">
        <v>475</v>
      </c>
      <c r="F20" s="195" t="s">
        <v>472</v>
      </c>
      <c r="G20" s="9" t="str">
        <f t="shared" si="1"/>
        <v xml:space="preserve">PARTICIPAR DE REUNIÃO  NO MEC, MINISTÉRIO DA SAÚDE E PGFN EM BRASILIA </v>
      </c>
      <c r="H20" s="9" t="s">
        <v>9</v>
      </c>
      <c r="I20" s="18">
        <v>43101</v>
      </c>
      <c r="J20" s="10">
        <v>30</v>
      </c>
      <c r="K20" s="11">
        <v>31</v>
      </c>
      <c r="L20" s="58">
        <v>0</v>
      </c>
      <c r="M20" s="58">
        <v>88.99</v>
      </c>
      <c r="N20" s="58">
        <v>0</v>
      </c>
      <c r="O20" s="12">
        <v>0</v>
      </c>
      <c r="P20" s="14">
        <f>444.78+443.03+1247.93+340</f>
        <v>2475.7399999999998</v>
      </c>
      <c r="Q20" s="15">
        <v>500</v>
      </c>
      <c r="R20" s="98">
        <f t="shared" si="0"/>
        <v>3064.7299999999996</v>
      </c>
      <c r="S20" s="16"/>
      <c r="T20" s="16"/>
      <c r="U20" s="16"/>
      <c r="V20" s="16"/>
    </row>
    <row r="21" spans="2:22" s="17" customFormat="1" ht="22.5" x14ac:dyDescent="0.2">
      <c r="B21" s="99">
        <v>17</v>
      </c>
      <c r="C21" s="56" t="s">
        <v>40</v>
      </c>
      <c r="D21" s="189" t="s">
        <v>41</v>
      </c>
      <c r="E21" s="197" t="s">
        <v>484</v>
      </c>
      <c r="F21" s="195" t="s">
        <v>472</v>
      </c>
      <c r="G21" s="9" t="str">
        <f t="shared" si="1"/>
        <v xml:space="preserve">PARTICIPAR DE REUNIÃO  NO MEC, MINISTÉRIO DA SAÚDE E PGFN EM BRASILIA </v>
      </c>
      <c r="H21" s="9" t="s">
        <v>42</v>
      </c>
      <c r="I21" s="18">
        <v>43101</v>
      </c>
      <c r="J21" s="10">
        <v>30</v>
      </c>
      <c r="K21" s="11">
        <v>31</v>
      </c>
      <c r="L21" s="58">
        <v>0</v>
      </c>
      <c r="M21" s="58">
        <v>89.65</v>
      </c>
      <c r="N21" s="58">
        <v>0</v>
      </c>
      <c r="O21" s="12">
        <v>26.24</v>
      </c>
      <c r="P21" s="14">
        <f>952.8+1247.93</f>
        <v>2200.73</v>
      </c>
      <c r="Q21" s="15">
        <f>375.38+80.8</f>
        <v>456.18</v>
      </c>
      <c r="R21" s="98">
        <f t="shared" si="0"/>
        <v>2772.7999999999997</v>
      </c>
      <c r="S21" s="16"/>
      <c r="T21" s="16"/>
      <c r="U21" s="16"/>
      <c r="V21" s="16"/>
    </row>
    <row r="22" spans="2:22" s="17" customFormat="1" ht="67.5" x14ac:dyDescent="0.2">
      <c r="B22" s="99">
        <v>18</v>
      </c>
      <c r="C22" s="56" t="s">
        <v>43</v>
      </c>
      <c r="D22" s="189" t="s">
        <v>44</v>
      </c>
      <c r="E22" s="197" t="s">
        <v>485</v>
      </c>
      <c r="F22" s="188" t="s">
        <v>473</v>
      </c>
      <c r="G22" s="9" t="str">
        <f t="shared" si="1"/>
        <v>PROJETO AGHUSE - AERONÁUTICA - IMERSÃO PARA TREINAMENTO PARA IMPLANTAÇÃO DO AGHUSE - MÓDULOS EXAMES, PRESCRIÇÃO, ENFERMAGEM E CIRURGIA, BEM COMO VALIDAR O COMPLEMENTO CADASTRAL DOS MEDICAMENTOS E RETIRAR DÚVIDAS NEGOCIAIS.</v>
      </c>
      <c r="H22" s="9" t="s">
        <v>45</v>
      </c>
      <c r="I22" s="18">
        <v>43132</v>
      </c>
      <c r="J22" s="10">
        <v>5</v>
      </c>
      <c r="K22" s="11">
        <v>6</v>
      </c>
      <c r="L22" s="58">
        <v>0</v>
      </c>
      <c r="M22" s="58">
        <v>33.799999999999997</v>
      </c>
      <c r="N22" s="58">
        <v>0</v>
      </c>
      <c r="O22" s="12">
        <f>59.26+50+50+50+92</f>
        <v>301.26</v>
      </c>
      <c r="P22" s="14">
        <f>518.68+540.41</f>
        <v>1059.0899999999999</v>
      </c>
      <c r="Q22" s="15">
        <f>393.75+74</f>
        <v>467.75</v>
      </c>
      <c r="R22" s="98">
        <f t="shared" si="0"/>
        <v>1861.8999999999999</v>
      </c>
      <c r="S22" s="16"/>
      <c r="T22" s="16"/>
      <c r="U22" s="16"/>
      <c r="V22" s="16"/>
    </row>
    <row r="23" spans="2:22" s="17" customFormat="1" ht="68.25" thickBot="1" x14ac:dyDescent="0.25">
      <c r="B23" s="100">
        <v>19</v>
      </c>
      <c r="C23" s="101" t="s">
        <v>46</v>
      </c>
      <c r="D23" s="191" t="s">
        <v>47</v>
      </c>
      <c r="E23" s="199" t="s">
        <v>486</v>
      </c>
      <c r="F23" s="196" t="s">
        <v>473</v>
      </c>
      <c r="G23" s="102" t="str">
        <f t="shared" si="1"/>
        <v>PROJETO AGHUSE - AERONÁUTICA - IMERSÃO PARA TREINAMENTO PARA IMPLANTAÇÃO DO AGHUSE - MÓDULOS EXAMES, PRESCRIÇÃO, ENFERMAGEM E CIRURGIA, BEM COMO VALIDAR O COMPLEMENTO CADASTRAL DOS MEDICAMENTOS E RETIRAR DÚVIDAS NEGOCIAIS.</v>
      </c>
      <c r="H23" s="102" t="s">
        <v>48</v>
      </c>
      <c r="I23" s="103">
        <v>43132</v>
      </c>
      <c r="J23" s="104">
        <v>7</v>
      </c>
      <c r="K23" s="105">
        <v>8</v>
      </c>
      <c r="L23" s="149">
        <v>0</v>
      </c>
      <c r="M23" s="149">
        <v>23</v>
      </c>
      <c r="N23" s="149">
        <v>0</v>
      </c>
      <c r="O23" s="128">
        <f>40+50+50+45.74</f>
        <v>185.74</v>
      </c>
      <c r="P23" s="107">
        <f>518.68+735.41</f>
        <v>1254.0899999999999</v>
      </c>
      <c r="Q23" s="108">
        <f>393.75+77</f>
        <v>470.75</v>
      </c>
      <c r="R23" s="109">
        <f t="shared" si="0"/>
        <v>1933.58</v>
      </c>
      <c r="S23" s="16"/>
      <c r="T23" s="16"/>
      <c r="U23" s="16"/>
      <c r="V23" s="16"/>
    </row>
    <row r="24" spans="2:22" s="31" customFormat="1" ht="15.75" x14ac:dyDescent="0.25">
      <c r="C24" s="32"/>
      <c r="D24" s="32"/>
      <c r="E24" s="32"/>
      <c r="F24" s="187"/>
      <c r="G24" s="32"/>
      <c r="H24" s="34"/>
      <c r="I24" s="32"/>
      <c r="J24" s="20"/>
      <c r="K24" s="33"/>
      <c r="L24" s="35">
        <f t="shared" ref="L24:Q24" si="2">SUM(L5:L23)</f>
        <v>352</v>
      </c>
      <c r="M24" s="35">
        <f t="shared" si="2"/>
        <v>1283.18</v>
      </c>
      <c r="N24" s="35">
        <f t="shared" si="2"/>
        <v>0</v>
      </c>
      <c r="O24" s="92">
        <f t="shared" si="2"/>
        <v>802.86</v>
      </c>
      <c r="P24" s="38">
        <f t="shared" si="2"/>
        <v>38732.61</v>
      </c>
      <c r="Q24" s="39">
        <f t="shared" si="2"/>
        <v>5595.0600000000013</v>
      </c>
      <c r="R24" s="37">
        <f>SUM(R5:R23)+O25</f>
        <v>46773.738600000012</v>
      </c>
    </row>
    <row r="25" spans="2:22" s="40" customFormat="1" ht="16.5" thickBot="1" x14ac:dyDescent="0.3">
      <c r="C25" s="41"/>
      <c r="D25" s="288"/>
      <c r="E25" s="288"/>
      <c r="F25" s="288"/>
      <c r="G25" s="288"/>
      <c r="H25" s="288"/>
      <c r="I25" s="288"/>
      <c r="J25" s="288"/>
      <c r="K25" s="42"/>
      <c r="L25" s="43"/>
      <c r="M25" s="91"/>
      <c r="N25" s="91" t="s">
        <v>315</v>
      </c>
      <c r="O25" s="27">
        <f>O24*1%</f>
        <v>8.0286000000000008</v>
      </c>
      <c r="R25" s="44"/>
    </row>
    <row r="26" spans="2:22" s="40" customFormat="1" ht="16.5" thickBot="1" x14ac:dyDescent="0.3">
      <c r="C26" s="41"/>
      <c r="D26" s="41"/>
      <c r="E26" s="41"/>
      <c r="F26" s="41"/>
      <c r="G26" s="41"/>
      <c r="H26" s="45"/>
      <c r="I26" s="41"/>
      <c r="J26" s="41"/>
      <c r="K26" s="42"/>
      <c r="L26" s="43"/>
      <c r="M26" s="43"/>
      <c r="N26" s="43"/>
      <c r="O26" s="93">
        <f>O24+O25</f>
        <v>810.8886</v>
      </c>
      <c r="P26" s="46"/>
      <c r="Q26" s="44"/>
      <c r="R26" s="47" t="s">
        <v>50</v>
      </c>
    </row>
    <row r="27" spans="2:22" s="40" customFormat="1" x14ac:dyDescent="0.2">
      <c r="C27" s="41"/>
      <c r="D27" s="289"/>
      <c r="E27" s="289"/>
      <c r="F27" s="289"/>
      <c r="G27" s="289"/>
      <c r="H27" s="289"/>
      <c r="I27" s="289"/>
      <c r="J27" s="289"/>
      <c r="K27" s="42"/>
      <c r="L27" s="43"/>
      <c r="M27" s="43"/>
      <c r="N27" s="43"/>
      <c r="O27" s="27"/>
      <c r="P27" s="5" t="s">
        <v>49</v>
      </c>
      <c r="Q27" s="167">
        <f>L24+M24+O26+P24+Q24</f>
        <v>46773.738599999997</v>
      </c>
      <c r="R27" s="48">
        <f>R24-Q27</f>
        <v>0</v>
      </c>
    </row>
    <row r="28" spans="2:22" ht="15.75" x14ac:dyDescent="0.25">
      <c r="C28" s="49"/>
      <c r="D28" s="50"/>
      <c r="E28" s="50"/>
      <c r="F28" s="50"/>
      <c r="G28" s="50"/>
      <c r="H28" s="51"/>
      <c r="I28" s="52"/>
      <c r="J28" s="52"/>
      <c r="K28" s="52"/>
      <c r="M28" s="91"/>
      <c r="N28" s="91" t="s">
        <v>315</v>
      </c>
      <c r="O28" s="27" t="s">
        <v>316</v>
      </c>
    </row>
    <row r="29" spans="2:22" x14ac:dyDescent="0.25">
      <c r="C29" s="49"/>
      <c r="D29" s="50"/>
      <c r="E29" s="50"/>
      <c r="F29" s="50"/>
      <c r="G29" s="50"/>
      <c r="H29" s="51"/>
      <c r="I29" s="52"/>
      <c r="J29" s="52"/>
      <c r="K29" s="52"/>
      <c r="O29" s="27"/>
    </row>
    <row r="30" spans="2:22" x14ac:dyDescent="0.25">
      <c r="C30" s="49"/>
      <c r="D30" s="50"/>
      <c r="E30" s="50"/>
      <c r="F30" s="50"/>
      <c r="G30" s="50"/>
      <c r="H30" s="51"/>
      <c r="I30" s="52"/>
      <c r="J30" s="52"/>
      <c r="K30" s="52"/>
      <c r="O30" s="27"/>
    </row>
    <row r="31" spans="2:22" x14ac:dyDescent="0.25">
      <c r="C31" s="49"/>
      <c r="D31" s="50"/>
      <c r="E31" s="50"/>
      <c r="F31" s="50"/>
      <c r="G31" s="50"/>
      <c r="H31" s="51"/>
      <c r="I31" s="52"/>
      <c r="J31" s="52"/>
      <c r="K31" s="52"/>
      <c r="O31" s="27"/>
    </row>
    <row r="32" spans="2:22" x14ac:dyDescent="0.25">
      <c r="C32" s="49"/>
      <c r="D32" s="50"/>
      <c r="E32" s="50"/>
      <c r="F32" s="50"/>
      <c r="G32" s="50"/>
      <c r="H32" s="51"/>
      <c r="I32" s="52"/>
      <c r="J32" s="52"/>
      <c r="K32" s="52"/>
      <c r="O32" s="27"/>
    </row>
    <row r="33" spans="3:15" x14ac:dyDescent="0.25">
      <c r="C33" s="49"/>
      <c r="D33" s="50"/>
      <c r="E33" s="50"/>
      <c r="F33" s="50"/>
      <c r="G33" s="50"/>
      <c r="H33" s="51"/>
      <c r="I33" s="52"/>
      <c r="J33" s="52"/>
      <c r="K33" s="52"/>
      <c r="O33" s="27"/>
    </row>
    <row r="34" spans="3:15" x14ac:dyDescent="0.25">
      <c r="C34" s="49"/>
      <c r="D34" s="50"/>
      <c r="E34" s="50"/>
      <c r="F34" s="50"/>
      <c r="G34" s="50"/>
      <c r="H34" s="51"/>
      <c r="I34" s="52"/>
      <c r="J34" s="52"/>
      <c r="K34" s="52"/>
      <c r="O34" s="27"/>
    </row>
    <row r="35" spans="3:15" x14ac:dyDescent="0.25">
      <c r="C35" s="49"/>
      <c r="D35" s="50"/>
      <c r="E35" s="50"/>
      <c r="F35" s="50"/>
      <c r="G35" s="50"/>
      <c r="H35" s="51"/>
      <c r="I35" s="52"/>
      <c r="J35" s="52"/>
      <c r="K35" s="52"/>
      <c r="O35" s="27"/>
    </row>
    <row r="36" spans="3:15" x14ac:dyDescent="0.25">
      <c r="C36" s="49"/>
      <c r="H36" s="51"/>
      <c r="I36" s="52"/>
      <c r="J36" s="52"/>
      <c r="K36" s="52"/>
      <c r="O36" s="27"/>
    </row>
    <row r="37" spans="3:15" x14ac:dyDescent="0.25">
      <c r="C37" s="49"/>
      <c r="D37" s="50"/>
      <c r="E37" s="50"/>
      <c r="F37" s="50"/>
      <c r="G37" s="50"/>
      <c r="H37" s="51"/>
      <c r="I37" s="52"/>
      <c r="J37" s="52"/>
      <c r="K37" s="52"/>
      <c r="O37" s="27"/>
    </row>
    <row r="38" spans="3:15" x14ac:dyDescent="0.25">
      <c r="C38" s="49"/>
      <c r="D38" s="50"/>
      <c r="E38" s="50"/>
      <c r="F38" s="50"/>
      <c r="G38" s="50"/>
      <c r="H38" s="51"/>
      <c r="I38" s="52"/>
      <c r="J38" s="52"/>
      <c r="K38" s="52"/>
      <c r="O38" s="53"/>
    </row>
    <row r="39" spans="3:15" ht="15.75" x14ac:dyDescent="0.25">
      <c r="C39" s="49"/>
      <c r="D39" s="50"/>
      <c r="E39" s="50"/>
      <c r="F39" s="50"/>
      <c r="G39" s="50"/>
      <c r="H39" s="51"/>
      <c r="I39" s="52"/>
      <c r="J39" s="52"/>
      <c r="K39" s="52"/>
      <c r="O39" s="40"/>
    </row>
    <row r="40" spans="3:15" ht="15.75" x14ac:dyDescent="0.25">
      <c r="C40" s="49"/>
      <c r="D40" s="50"/>
      <c r="E40" s="50"/>
      <c r="F40" s="50"/>
      <c r="G40" s="50"/>
      <c r="H40" s="51"/>
      <c r="I40" s="52"/>
      <c r="J40" s="52"/>
      <c r="K40" s="52"/>
      <c r="O40" s="40"/>
    </row>
    <row r="41" spans="3:15" ht="15.75" x14ac:dyDescent="0.25">
      <c r="C41" s="49"/>
      <c r="D41" s="50"/>
      <c r="E41" s="50"/>
      <c r="F41" s="50"/>
      <c r="G41" s="50"/>
      <c r="H41" s="51"/>
      <c r="I41" s="52"/>
      <c r="J41" s="52"/>
      <c r="K41" s="52"/>
      <c r="O41" s="40"/>
    </row>
    <row r="42" spans="3:15" x14ac:dyDescent="0.25">
      <c r="C42" s="49"/>
      <c r="D42" s="50"/>
      <c r="E42" s="50"/>
      <c r="F42" s="50"/>
      <c r="G42" s="50"/>
      <c r="H42" s="51"/>
      <c r="I42" s="52"/>
      <c r="J42" s="52"/>
      <c r="K42" s="52"/>
    </row>
    <row r="43" spans="3:15" x14ac:dyDescent="0.25">
      <c r="C43" s="49"/>
      <c r="D43" s="50"/>
      <c r="E43" s="50"/>
      <c r="F43" s="50"/>
      <c r="G43" s="50"/>
      <c r="H43" s="51"/>
      <c r="I43" s="52"/>
      <c r="J43" s="52"/>
      <c r="K43" s="52"/>
    </row>
    <row r="44" spans="3:15" x14ac:dyDescent="0.25">
      <c r="C44" s="49"/>
      <c r="D44" s="50"/>
      <c r="E44" s="50"/>
      <c r="F44" s="50"/>
      <c r="G44" s="50"/>
      <c r="H44" s="51"/>
      <c r="I44" s="52"/>
      <c r="J44" s="52"/>
      <c r="K44" s="52"/>
    </row>
    <row r="45" spans="3:15" x14ac:dyDescent="0.25">
      <c r="C45" s="49"/>
      <c r="D45" s="50"/>
      <c r="E45" s="50"/>
      <c r="F45" s="50"/>
      <c r="G45" s="50"/>
      <c r="H45" s="51"/>
      <c r="I45" s="52"/>
      <c r="J45" s="52"/>
      <c r="K45" s="52"/>
    </row>
    <row r="46" spans="3:15" x14ac:dyDescent="0.25">
      <c r="C46" s="49"/>
      <c r="D46" s="50"/>
      <c r="E46" s="50"/>
      <c r="F46" s="50"/>
      <c r="G46" s="50"/>
      <c r="H46" s="51"/>
      <c r="I46" s="52"/>
      <c r="J46" s="52"/>
      <c r="K46" s="52"/>
    </row>
    <row r="47" spans="3:15" x14ac:dyDescent="0.25">
      <c r="C47" s="49"/>
      <c r="D47" s="50"/>
      <c r="E47" s="50"/>
      <c r="F47" s="50"/>
      <c r="G47" s="50"/>
      <c r="H47" s="51"/>
      <c r="I47" s="52"/>
      <c r="J47" s="52"/>
      <c r="K47" s="52"/>
    </row>
    <row r="48" spans="3:15" x14ac:dyDescent="0.25">
      <c r="C48" s="49"/>
      <c r="D48" s="50"/>
      <c r="E48" s="50"/>
      <c r="F48" s="50"/>
      <c r="G48" s="50"/>
      <c r="H48" s="51"/>
      <c r="I48" s="52"/>
      <c r="J48" s="52"/>
      <c r="K48" s="52"/>
    </row>
    <row r="49" spans="3:11" x14ac:dyDescent="0.25">
      <c r="C49" s="49"/>
      <c r="D49" s="50"/>
      <c r="E49" s="50"/>
      <c r="F49" s="50"/>
      <c r="G49" s="50"/>
      <c r="H49" s="51"/>
      <c r="I49" s="52"/>
      <c r="J49" s="52"/>
      <c r="K49" s="52"/>
    </row>
    <row r="50" spans="3:11" x14ac:dyDescent="0.25">
      <c r="C50" s="49"/>
      <c r="D50" s="50"/>
      <c r="E50" s="50"/>
      <c r="F50" s="50"/>
      <c r="G50" s="50"/>
      <c r="H50" s="51"/>
      <c r="I50" s="52"/>
      <c r="J50" s="52"/>
      <c r="K50" s="52"/>
    </row>
    <row r="51" spans="3:11" x14ac:dyDescent="0.25">
      <c r="C51" s="49"/>
      <c r="D51" s="50"/>
      <c r="E51" s="50"/>
      <c r="F51" s="50"/>
      <c r="G51" s="50"/>
      <c r="H51" s="51"/>
      <c r="I51" s="52"/>
      <c r="J51" s="52"/>
      <c r="K51" s="52"/>
    </row>
    <row r="52" spans="3:11" x14ac:dyDescent="0.25">
      <c r="C52" s="49"/>
      <c r="D52" s="50"/>
      <c r="E52" s="50"/>
      <c r="F52" s="50"/>
      <c r="G52" s="50"/>
      <c r="H52" s="51"/>
      <c r="I52" s="52"/>
      <c r="J52" s="52"/>
      <c r="K52" s="52"/>
    </row>
    <row r="53" spans="3:11" x14ac:dyDescent="0.25">
      <c r="C53" s="49"/>
      <c r="D53" s="50"/>
      <c r="E53" s="50"/>
      <c r="F53" s="50"/>
      <c r="G53" s="50"/>
      <c r="H53" s="51"/>
      <c r="I53" s="52"/>
      <c r="J53" s="52"/>
      <c r="K53" s="52"/>
    </row>
    <row r="54" spans="3:11" x14ac:dyDescent="0.25">
      <c r="C54" s="49"/>
      <c r="D54" s="50"/>
      <c r="E54" s="50"/>
      <c r="F54" s="50"/>
      <c r="G54" s="50"/>
      <c r="H54" s="51"/>
      <c r="I54" s="52"/>
      <c r="J54" s="52"/>
      <c r="K54" s="52"/>
    </row>
    <row r="55" spans="3:11" x14ac:dyDescent="0.25">
      <c r="C55" s="49"/>
      <c r="D55" s="50"/>
      <c r="E55" s="50"/>
      <c r="F55" s="50"/>
      <c r="G55" s="50"/>
      <c r="H55" s="51"/>
      <c r="I55" s="52"/>
      <c r="J55" s="52"/>
      <c r="K55" s="52"/>
    </row>
    <row r="56" spans="3:11" x14ac:dyDescent="0.25">
      <c r="C56" s="49"/>
      <c r="D56" s="50"/>
      <c r="E56" s="50"/>
      <c r="F56" s="50"/>
      <c r="G56" s="50"/>
      <c r="H56" s="51"/>
      <c r="I56" s="52"/>
      <c r="J56" s="52"/>
      <c r="K56" s="52"/>
    </row>
    <row r="57" spans="3:11" x14ac:dyDescent="0.25">
      <c r="C57" s="49"/>
      <c r="D57" s="50"/>
      <c r="E57" s="50"/>
      <c r="F57" s="50"/>
      <c r="G57" s="50"/>
      <c r="H57" s="51"/>
      <c r="I57" s="52"/>
      <c r="J57" s="52"/>
      <c r="K57" s="52"/>
    </row>
    <row r="58" spans="3:11" x14ac:dyDescent="0.25">
      <c r="C58" s="49"/>
      <c r="D58" s="50"/>
      <c r="E58" s="50"/>
      <c r="F58" s="50"/>
      <c r="G58" s="50"/>
      <c r="H58" s="51"/>
      <c r="I58" s="52"/>
      <c r="J58" s="52"/>
      <c r="K58" s="52"/>
    </row>
    <row r="59" spans="3:11" x14ac:dyDescent="0.25">
      <c r="C59" s="49"/>
      <c r="D59" s="50"/>
      <c r="E59" s="50"/>
      <c r="F59" s="50"/>
      <c r="G59" s="50"/>
      <c r="H59" s="51"/>
      <c r="I59" s="52"/>
      <c r="J59" s="52"/>
      <c r="K59" s="52"/>
    </row>
    <row r="60" spans="3:11" x14ac:dyDescent="0.25">
      <c r="C60" s="49"/>
      <c r="D60" s="50"/>
      <c r="E60" s="50"/>
      <c r="F60" s="50"/>
      <c r="G60" s="50"/>
      <c r="H60" s="51"/>
      <c r="I60" s="52"/>
      <c r="J60" s="52"/>
      <c r="K60" s="52"/>
    </row>
    <row r="61" spans="3:11" x14ac:dyDescent="0.25">
      <c r="C61" s="49"/>
      <c r="D61" s="50"/>
      <c r="E61" s="50"/>
      <c r="F61" s="50"/>
      <c r="G61" s="50"/>
      <c r="H61" s="51"/>
      <c r="I61" s="52"/>
      <c r="J61" s="52"/>
      <c r="K61" s="52"/>
    </row>
    <row r="62" spans="3:11" x14ac:dyDescent="0.25">
      <c r="C62" s="49"/>
      <c r="D62" s="50"/>
      <c r="E62" s="50"/>
      <c r="F62" s="50"/>
      <c r="G62" s="50"/>
      <c r="H62" s="51"/>
      <c r="I62" s="52"/>
      <c r="J62" s="52"/>
      <c r="K62" s="52"/>
    </row>
    <row r="63" spans="3:11" x14ac:dyDescent="0.25">
      <c r="C63" s="49"/>
      <c r="D63" s="50"/>
      <c r="E63" s="50"/>
      <c r="F63" s="50"/>
      <c r="G63" s="50"/>
      <c r="H63" s="51"/>
      <c r="I63" s="52"/>
      <c r="J63" s="52"/>
      <c r="K63" s="52"/>
    </row>
    <row r="64" spans="3:11" x14ac:dyDescent="0.25">
      <c r="C64" s="49"/>
      <c r="D64" s="50"/>
      <c r="E64" s="50"/>
      <c r="F64" s="50"/>
      <c r="G64" s="50"/>
      <c r="H64" s="51"/>
      <c r="I64" s="52"/>
      <c r="J64" s="52"/>
      <c r="K64" s="52"/>
    </row>
    <row r="65" spans="3:11" x14ac:dyDescent="0.25">
      <c r="C65" s="49"/>
      <c r="D65" s="50"/>
      <c r="E65" s="50"/>
      <c r="F65" s="50"/>
      <c r="G65" s="50"/>
      <c r="H65" s="51"/>
      <c r="I65" s="52"/>
      <c r="J65" s="52"/>
      <c r="K65" s="52"/>
    </row>
    <row r="66" spans="3:11" x14ac:dyDescent="0.25">
      <c r="C66" s="49"/>
      <c r="D66" s="50"/>
      <c r="E66" s="50"/>
      <c r="F66" s="50"/>
      <c r="G66" s="50"/>
      <c r="H66" s="51"/>
      <c r="I66" s="52"/>
      <c r="J66" s="52"/>
      <c r="K66" s="52"/>
    </row>
    <row r="67" spans="3:11" x14ac:dyDescent="0.25">
      <c r="C67" s="49"/>
      <c r="D67" s="50"/>
      <c r="E67" s="50"/>
      <c r="F67" s="50"/>
      <c r="G67" s="50"/>
      <c r="H67" s="51"/>
      <c r="I67" s="52"/>
      <c r="J67" s="52"/>
      <c r="K67" s="52"/>
    </row>
    <row r="68" spans="3:11" x14ac:dyDescent="0.25">
      <c r="C68" s="49"/>
      <c r="D68" s="50"/>
      <c r="E68" s="50"/>
      <c r="F68" s="50"/>
      <c r="G68" s="50"/>
      <c r="H68" s="51"/>
      <c r="I68" s="52"/>
      <c r="J68" s="52"/>
      <c r="K68" s="52"/>
    </row>
    <row r="69" spans="3:11" x14ac:dyDescent="0.25">
      <c r="C69" s="49"/>
      <c r="D69" s="50"/>
      <c r="E69" s="50"/>
      <c r="F69" s="50"/>
      <c r="G69" s="50"/>
      <c r="H69" s="51"/>
      <c r="I69" s="52"/>
      <c r="J69" s="52"/>
      <c r="K69" s="52"/>
    </row>
    <row r="70" spans="3:11" x14ac:dyDescent="0.25">
      <c r="C70" s="49"/>
      <c r="D70" s="50"/>
      <c r="E70" s="50"/>
      <c r="F70" s="50"/>
      <c r="G70" s="50"/>
      <c r="H70" s="51"/>
      <c r="I70" s="52"/>
      <c r="J70" s="52"/>
      <c r="K70" s="52"/>
    </row>
    <row r="71" spans="3:11" x14ac:dyDescent="0.25">
      <c r="C71" s="49"/>
      <c r="D71" s="50"/>
      <c r="E71" s="50"/>
      <c r="F71" s="50"/>
      <c r="G71" s="50"/>
      <c r="H71" s="51"/>
      <c r="I71" s="52"/>
      <c r="J71" s="52"/>
      <c r="K71" s="52"/>
    </row>
    <row r="72" spans="3:11" x14ac:dyDescent="0.25">
      <c r="C72" s="49"/>
      <c r="D72" s="50"/>
      <c r="E72" s="50"/>
      <c r="F72" s="50"/>
      <c r="G72" s="50"/>
      <c r="H72" s="51"/>
      <c r="I72" s="52"/>
      <c r="J72" s="52"/>
      <c r="K72" s="52"/>
    </row>
    <row r="73" spans="3:11" x14ac:dyDescent="0.25">
      <c r="C73" s="49"/>
      <c r="D73" s="50"/>
      <c r="E73" s="50"/>
      <c r="F73" s="50"/>
      <c r="G73" s="50"/>
      <c r="H73" s="51"/>
      <c r="I73" s="52"/>
      <c r="J73" s="52"/>
      <c r="K73" s="52"/>
    </row>
    <row r="74" spans="3:11" x14ac:dyDescent="0.25">
      <c r="C74" s="49"/>
      <c r="D74" s="50"/>
      <c r="E74" s="50"/>
      <c r="F74" s="50"/>
      <c r="G74" s="50"/>
      <c r="H74" s="51"/>
      <c r="I74" s="52"/>
      <c r="J74" s="52"/>
      <c r="K74" s="52"/>
    </row>
    <row r="75" spans="3:11" x14ac:dyDescent="0.25">
      <c r="C75" s="49"/>
      <c r="D75" s="50"/>
      <c r="E75" s="50"/>
      <c r="F75" s="50"/>
      <c r="G75" s="50"/>
      <c r="H75" s="51"/>
      <c r="I75" s="52"/>
      <c r="J75" s="52"/>
      <c r="K75" s="52"/>
    </row>
    <row r="76" spans="3:11" x14ac:dyDescent="0.25">
      <c r="C76" s="49"/>
      <c r="D76" s="50"/>
      <c r="E76" s="50"/>
      <c r="F76" s="50"/>
      <c r="G76" s="50"/>
      <c r="H76" s="51"/>
      <c r="I76" s="52"/>
      <c r="J76" s="52"/>
      <c r="K76" s="52"/>
    </row>
    <row r="77" spans="3:11" x14ac:dyDescent="0.25">
      <c r="C77" s="49"/>
      <c r="D77" s="50"/>
      <c r="E77" s="50"/>
      <c r="F77" s="50"/>
      <c r="G77" s="50"/>
      <c r="H77" s="51"/>
      <c r="I77" s="52"/>
      <c r="J77" s="52"/>
      <c r="K77" s="52"/>
    </row>
    <row r="78" spans="3:11" x14ac:dyDescent="0.25">
      <c r="C78" s="49"/>
      <c r="D78" s="50"/>
      <c r="E78" s="50"/>
      <c r="F78" s="50"/>
      <c r="G78" s="50"/>
      <c r="H78" s="51"/>
      <c r="I78" s="52"/>
      <c r="J78" s="52"/>
      <c r="K78" s="52"/>
    </row>
    <row r="79" spans="3:11" x14ac:dyDescent="0.25">
      <c r="C79" s="49"/>
      <c r="D79" s="50"/>
      <c r="E79" s="50"/>
      <c r="F79" s="50"/>
      <c r="G79" s="50"/>
      <c r="H79" s="51"/>
      <c r="I79" s="52"/>
      <c r="J79" s="52"/>
      <c r="K79" s="52"/>
    </row>
    <row r="80" spans="3:11" x14ac:dyDescent="0.25">
      <c r="C80" s="49"/>
      <c r="D80" s="50"/>
      <c r="E80" s="50"/>
      <c r="F80" s="50"/>
      <c r="G80" s="50"/>
      <c r="H80" s="51"/>
      <c r="I80" s="52"/>
      <c r="J80" s="52"/>
      <c r="K80" s="52"/>
    </row>
    <row r="81" spans="3:11" x14ac:dyDescent="0.25">
      <c r="C81" s="49"/>
      <c r="D81" s="50"/>
      <c r="E81" s="50"/>
      <c r="F81" s="50"/>
      <c r="G81" s="50"/>
      <c r="H81" s="51"/>
      <c r="I81" s="52"/>
      <c r="J81" s="52"/>
      <c r="K81" s="52"/>
    </row>
    <row r="82" spans="3:11" x14ac:dyDescent="0.25">
      <c r="C82" s="49"/>
      <c r="D82" s="50"/>
      <c r="E82" s="50"/>
      <c r="F82" s="50"/>
      <c r="G82" s="50"/>
      <c r="H82" s="51"/>
      <c r="I82" s="52"/>
      <c r="J82" s="52"/>
      <c r="K82" s="52"/>
    </row>
    <row r="83" spans="3:11" x14ac:dyDescent="0.25">
      <c r="C83" s="49"/>
      <c r="D83" s="50"/>
      <c r="E83" s="50"/>
      <c r="F83" s="50"/>
      <c r="G83" s="50"/>
      <c r="H83" s="51"/>
      <c r="I83" s="52"/>
      <c r="J83" s="52"/>
      <c r="K83" s="52"/>
    </row>
    <row r="84" spans="3:11" x14ac:dyDescent="0.25">
      <c r="C84" s="49"/>
      <c r="D84" s="50"/>
      <c r="E84" s="50"/>
      <c r="F84" s="50"/>
      <c r="G84" s="50"/>
      <c r="H84" s="51"/>
      <c r="I84" s="52"/>
      <c r="J84" s="52"/>
      <c r="K84" s="52"/>
    </row>
    <row r="85" spans="3:11" x14ac:dyDescent="0.25">
      <c r="C85" s="49"/>
      <c r="D85" s="50"/>
      <c r="E85" s="50"/>
      <c r="F85" s="50"/>
      <c r="G85" s="50"/>
      <c r="H85" s="51"/>
      <c r="I85" s="52"/>
      <c r="J85" s="52"/>
      <c r="K85" s="52"/>
    </row>
    <row r="86" spans="3:11" x14ac:dyDescent="0.25">
      <c r="C86" s="49"/>
      <c r="D86" s="50"/>
      <c r="E86" s="50"/>
      <c r="F86" s="50"/>
      <c r="G86" s="50"/>
      <c r="H86" s="51"/>
      <c r="I86" s="52"/>
      <c r="J86" s="52"/>
      <c r="K86" s="52"/>
    </row>
    <row r="87" spans="3:11" x14ac:dyDescent="0.25">
      <c r="C87" s="49"/>
      <c r="D87" s="50"/>
      <c r="E87" s="50"/>
      <c r="F87" s="50"/>
      <c r="G87" s="50"/>
      <c r="H87" s="51"/>
      <c r="I87" s="52"/>
      <c r="J87" s="52"/>
      <c r="K87" s="52"/>
    </row>
    <row r="88" spans="3:11" x14ac:dyDescent="0.25">
      <c r="C88" s="49"/>
      <c r="D88" s="50"/>
      <c r="E88" s="50"/>
      <c r="F88" s="50"/>
      <c r="G88" s="50"/>
      <c r="H88" s="51"/>
      <c r="I88" s="52"/>
      <c r="J88" s="52"/>
      <c r="K88" s="52"/>
    </row>
    <row r="89" spans="3:11" x14ac:dyDescent="0.25">
      <c r="C89" s="49"/>
      <c r="D89" s="50"/>
      <c r="E89" s="50"/>
      <c r="F89" s="50"/>
      <c r="G89" s="50"/>
      <c r="H89" s="51"/>
      <c r="I89" s="52"/>
      <c r="J89" s="52"/>
      <c r="K89" s="52"/>
    </row>
    <row r="90" spans="3:11" x14ac:dyDescent="0.25">
      <c r="C90" s="49"/>
      <c r="D90" s="50"/>
      <c r="E90" s="50"/>
      <c r="F90" s="50"/>
      <c r="G90" s="50"/>
      <c r="H90" s="51"/>
      <c r="I90" s="52"/>
      <c r="J90" s="52"/>
      <c r="K90" s="52"/>
    </row>
    <row r="91" spans="3:11" x14ac:dyDescent="0.25">
      <c r="C91" s="49"/>
      <c r="D91" s="50"/>
      <c r="E91" s="50"/>
      <c r="F91" s="50"/>
      <c r="G91" s="50"/>
      <c r="H91" s="51"/>
      <c r="I91" s="52"/>
      <c r="J91" s="52"/>
      <c r="K91" s="52"/>
    </row>
    <row r="92" spans="3:11" x14ac:dyDescent="0.25">
      <c r="C92" s="49"/>
      <c r="D92" s="50"/>
      <c r="E92" s="50"/>
      <c r="F92" s="50"/>
      <c r="G92" s="50"/>
      <c r="H92" s="51"/>
      <c r="I92" s="52"/>
      <c r="J92" s="52"/>
      <c r="K92" s="52"/>
    </row>
    <row r="93" spans="3:11" x14ac:dyDescent="0.25">
      <c r="C93" s="49"/>
      <c r="D93" s="50"/>
      <c r="E93" s="50"/>
      <c r="F93" s="50"/>
      <c r="G93" s="50"/>
      <c r="H93" s="51"/>
      <c r="I93" s="52"/>
      <c r="J93" s="52"/>
      <c r="K93" s="52"/>
    </row>
    <row r="94" spans="3:11" x14ac:dyDescent="0.25">
      <c r="C94" s="49"/>
      <c r="D94" s="50"/>
      <c r="E94" s="50"/>
      <c r="F94" s="50"/>
      <c r="G94" s="50"/>
      <c r="H94" s="51"/>
      <c r="I94" s="52"/>
      <c r="J94" s="52"/>
      <c r="K94" s="52"/>
    </row>
    <row r="95" spans="3:11" x14ac:dyDescent="0.25">
      <c r="C95" s="49"/>
      <c r="D95" s="50"/>
      <c r="E95" s="50"/>
      <c r="F95" s="50"/>
      <c r="G95" s="50"/>
      <c r="H95" s="51"/>
      <c r="I95" s="52"/>
      <c r="J95" s="52"/>
      <c r="K95" s="52"/>
    </row>
    <row r="96" spans="3:11" x14ac:dyDescent="0.25">
      <c r="C96" s="49"/>
      <c r="D96" s="50"/>
      <c r="E96" s="50"/>
      <c r="F96" s="50"/>
      <c r="G96" s="50"/>
      <c r="H96" s="51"/>
      <c r="I96" s="52"/>
      <c r="J96" s="52"/>
      <c r="K96" s="52"/>
    </row>
    <row r="97" spans="3:11" x14ac:dyDescent="0.25">
      <c r="C97" s="49"/>
      <c r="D97" s="50"/>
      <c r="E97" s="50"/>
      <c r="F97" s="50"/>
      <c r="G97" s="50"/>
      <c r="H97" s="51"/>
      <c r="I97" s="52"/>
      <c r="J97" s="52"/>
      <c r="K97" s="52"/>
    </row>
    <row r="98" spans="3:11" x14ac:dyDescent="0.25">
      <c r="C98" s="49"/>
      <c r="D98" s="50"/>
      <c r="E98" s="50"/>
      <c r="F98" s="50"/>
      <c r="G98" s="50"/>
      <c r="H98" s="51"/>
      <c r="I98" s="52"/>
      <c r="J98" s="52"/>
      <c r="K98" s="52"/>
    </row>
    <row r="99" spans="3:11" x14ac:dyDescent="0.25">
      <c r="C99" s="49"/>
      <c r="D99" s="50"/>
      <c r="E99" s="50"/>
      <c r="F99" s="50"/>
      <c r="G99" s="50"/>
      <c r="H99" s="51"/>
      <c r="I99" s="52"/>
      <c r="J99" s="52"/>
      <c r="K99" s="52"/>
    </row>
    <row r="100" spans="3:11" x14ac:dyDescent="0.25">
      <c r="C100" s="49"/>
      <c r="D100" s="50"/>
      <c r="E100" s="50"/>
      <c r="F100" s="50"/>
      <c r="G100" s="50"/>
      <c r="H100" s="51"/>
      <c r="I100" s="52"/>
      <c r="J100" s="52"/>
      <c r="K100" s="52"/>
    </row>
    <row r="101" spans="3:11" x14ac:dyDescent="0.25">
      <c r="C101" s="49"/>
      <c r="D101" s="50"/>
      <c r="E101" s="50"/>
      <c r="F101" s="50"/>
      <c r="G101" s="50"/>
      <c r="H101" s="51"/>
      <c r="I101" s="52"/>
      <c r="J101" s="52"/>
      <c r="K101" s="52"/>
    </row>
    <row r="102" spans="3:11" x14ac:dyDescent="0.25">
      <c r="C102" s="49"/>
      <c r="D102" s="50"/>
      <c r="E102" s="50"/>
      <c r="F102" s="50"/>
      <c r="G102" s="50"/>
      <c r="H102" s="51"/>
      <c r="I102" s="52"/>
      <c r="J102" s="52"/>
      <c r="K102" s="52"/>
    </row>
    <row r="103" spans="3:11" x14ac:dyDescent="0.25">
      <c r="C103" s="49"/>
      <c r="D103" s="50"/>
      <c r="E103" s="50"/>
      <c r="F103" s="50"/>
      <c r="G103" s="50"/>
      <c r="H103" s="51"/>
      <c r="I103" s="52"/>
      <c r="J103" s="52"/>
      <c r="K103" s="52"/>
    </row>
    <row r="104" spans="3:11" x14ac:dyDescent="0.25">
      <c r="C104" s="49"/>
      <c r="D104" s="50"/>
      <c r="E104" s="50"/>
      <c r="F104" s="50"/>
      <c r="G104" s="50"/>
      <c r="H104" s="51"/>
      <c r="I104" s="52"/>
      <c r="J104" s="52"/>
      <c r="K104" s="52"/>
    </row>
    <row r="105" spans="3:11" x14ac:dyDescent="0.25">
      <c r="C105" s="49"/>
      <c r="D105" s="50"/>
      <c r="E105" s="50"/>
      <c r="F105" s="50"/>
      <c r="G105" s="50"/>
      <c r="H105" s="51"/>
      <c r="I105" s="52"/>
      <c r="J105" s="52"/>
      <c r="K105" s="52"/>
    </row>
    <row r="106" spans="3:11" x14ac:dyDescent="0.25">
      <c r="C106" s="49"/>
      <c r="D106" s="50"/>
      <c r="E106" s="50"/>
      <c r="F106" s="50"/>
      <c r="G106" s="50"/>
      <c r="H106" s="51"/>
      <c r="I106" s="52"/>
      <c r="J106" s="52"/>
      <c r="K106" s="52"/>
    </row>
  </sheetData>
  <sheetProtection password="EFEB" sheet="1" objects="1" scenarios="1"/>
  <mergeCells count="6">
    <mergeCell ref="I4:K4"/>
    <mergeCell ref="D25:J25"/>
    <mergeCell ref="D27:J27"/>
    <mergeCell ref="B2:R2"/>
    <mergeCell ref="L3:N3"/>
    <mergeCell ref="P3:R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dimension ref="B2:AJ110"/>
  <sheetViews>
    <sheetView topLeftCell="A19" workbookViewId="0">
      <selection activeCell="E10" sqref="E10"/>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2" width="14.42578125" style="4" customWidth="1"/>
    <col min="13" max="14" width="15.4257812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3" width="14.42578125" customWidth="1"/>
    <col min="264" max="264" width="13.710937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19" width="14.42578125" customWidth="1"/>
    <col min="520" max="520" width="13.710937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5" width="14.42578125" customWidth="1"/>
    <col min="776" max="776" width="13.710937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1" width="14.42578125" customWidth="1"/>
    <col min="1032" max="1032" width="13.710937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7" width="14.42578125" customWidth="1"/>
    <col min="1288" max="1288" width="13.710937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3" width="14.42578125" customWidth="1"/>
    <col min="1544" max="1544" width="13.710937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799" width="14.42578125" customWidth="1"/>
    <col min="1800" max="1800" width="13.710937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5" width="14.42578125" customWidth="1"/>
    <col min="2056" max="2056" width="13.710937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1" width="14.42578125" customWidth="1"/>
    <col min="2312" max="2312" width="13.710937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7" width="14.42578125" customWidth="1"/>
    <col min="2568" max="2568" width="13.710937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3" width="14.42578125" customWidth="1"/>
    <col min="2824" max="2824" width="13.710937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79" width="14.42578125" customWidth="1"/>
    <col min="3080" max="3080" width="13.710937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5" width="14.42578125" customWidth="1"/>
    <col min="3336" max="3336" width="13.710937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1" width="14.42578125" customWidth="1"/>
    <col min="3592" max="3592" width="13.710937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7" width="14.42578125" customWidth="1"/>
    <col min="3848" max="3848" width="13.710937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3" width="14.42578125" customWidth="1"/>
    <col min="4104" max="4104" width="13.710937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59" width="14.42578125" customWidth="1"/>
    <col min="4360" max="4360" width="13.710937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5" width="14.42578125" customWidth="1"/>
    <col min="4616" max="4616" width="13.710937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1" width="14.42578125" customWidth="1"/>
    <col min="4872" max="4872" width="13.710937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7" width="14.42578125" customWidth="1"/>
    <col min="5128" max="5128" width="13.710937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3" width="14.42578125" customWidth="1"/>
    <col min="5384" max="5384" width="13.710937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39" width="14.42578125" customWidth="1"/>
    <col min="5640" max="5640" width="13.710937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5" width="14.42578125" customWidth="1"/>
    <col min="5896" max="5896" width="13.710937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1" width="14.42578125" customWidth="1"/>
    <col min="6152" max="6152" width="13.710937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7" width="14.42578125" customWidth="1"/>
    <col min="6408" max="6408" width="13.710937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3" width="14.42578125" customWidth="1"/>
    <col min="6664" max="6664" width="13.710937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19" width="14.42578125" customWidth="1"/>
    <col min="6920" max="6920" width="13.710937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5" width="14.42578125" customWidth="1"/>
    <col min="7176" max="7176" width="13.710937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1" width="14.42578125" customWidth="1"/>
    <col min="7432" max="7432" width="13.710937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7" width="14.42578125" customWidth="1"/>
    <col min="7688" max="7688" width="13.710937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3" width="14.42578125" customWidth="1"/>
    <col min="7944" max="7944" width="13.710937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199" width="14.42578125" customWidth="1"/>
    <col min="8200" max="8200" width="13.710937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5" width="14.42578125" customWidth="1"/>
    <col min="8456" max="8456" width="13.710937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1" width="14.42578125" customWidth="1"/>
    <col min="8712" max="8712" width="13.710937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7" width="14.42578125" customWidth="1"/>
    <col min="8968" max="8968" width="13.710937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3" width="14.42578125" customWidth="1"/>
    <col min="9224" max="9224" width="13.710937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79" width="14.42578125" customWidth="1"/>
    <col min="9480" max="9480" width="13.710937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5" width="14.42578125" customWidth="1"/>
    <col min="9736" max="9736" width="13.710937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1" width="14.42578125" customWidth="1"/>
    <col min="9992" max="9992" width="13.710937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7" width="14.42578125" customWidth="1"/>
    <col min="10248" max="10248" width="13.710937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3" width="14.42578125" customWidth="1"/>
    <col min="10504" max="10504" width="13.710937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59" width="14.42578125" customWidth="1"/>
    <col min="10760" max="10760" width="13.710937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5" width="14.42578125" customWidth="1"/>
    <col min="11016" max="11016" width="13.710937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1" width="14.42578125" customWidth="1"/>
    <col min="11272" max="11272" width="13.710937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7" width="14.42578125" customWidth="1"/>
    <col min="11528" max="11528" width="13.710937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3" width="14.42578125" customWidth="1"/>
    <col min="11784" max="11784" width="13.710937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39" width="14.42578125" customWidth="1"/>
    <col min="12040" max="12040" width="13.710937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5" width="14.42578125" customWidth="1"/>
    <col min="12296" max="12296" width="13.710937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1" width="14.42578125" customWidth="1"/>
    <col min="12552" max="12552" width="13.710937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7" width="14.42578125" customWidth="1"/>
    <col min="12808" max="12808" width="13.710937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3" width="14.42578125" customWidth="1"/>
    <col min="13064" max="13064" width="13.710937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19" width="14.42578125" customWidth="1"/>
    <col min="13320" max="13320" width="13.710937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5" width="14.42578125" customWidth="1"/>
    <col min="13576" max="13576" width="13.710937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1" width="14.42578125" customWidth="1"/>
    <col min="13832" max="13832" width="13.710937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7" width="14.42578125" customWidth="1"/>
    <col min="14088" max="14088" width="13.710937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3" width="14.42578125" customWidth="1"/>
    <col min="14344" max="14344" width="13.710937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599" width="14.42578125" customWidth="1"/>
    <col min="14600" max="14600" width="13.710937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5" width="14.42578125" customWidth="1"/>
    <col min="14856" max="14856" width="13.710937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1" width="14.42578125" customWidth="1"/>
    <col min="15112" max="15112" width="13.710937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7" width="14.42578125" customWidth="1"/>
    <col min="15368" max="15368" width="13.710937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3" width="14.42578125" customWidth="1"/>
    <col min="15624" max="15624" width="13.710937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79" width="14.42578125" customWidth="1"/>
    <col min="15880" max="15880" width="13.710937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5" width="14.42578125" customWidth="1"/>
    <col min="16136" max="16136" width="13.710937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2" spans="2:36" ht="16.5" customHeight="1" thickBot="1" x14ac:dyDescent="0.3">
      <c r="B2" s="287" t="s">
        <v>595</v>
      </c>
      <c r="C2" s="287"/>
      <c r="D2" s="287"/>
      <c r="E2" s="287"/>
      <c r="F2" s="287"/>
      <c r="G2" s="287"/>
      <c r="H2" s="287"/>
      <c r="I2" s="287"/>
      <c r="J2" s="287"/>
      <c r="K2" s="287"/>
      <c r="L2" s="296"/>
      <c r="M2" s="296"/>
      <c r="N2" s="296"/>
      <c r="O2" s="296"/>
      <c r="P2" s="296"/>
      <c r="Q2" s="296"/>
      <c r="R2" s="296"/>
    </row>
    <row r="3" spans="2:36" s="7" customFormat="1" ht="32.25" customHeight="1" thickBot="1" x14ac:dyDescent="0.3">
      <c r="B3" s="184"/>
      <c r="C3" s="184"/>
      <c r="D3" s="184"/>
      <c r="E3" s="184"/>
      <c r="F3" s="184"/>
      <c r="G3" s="184"/>
      <c r="H3" s="184"/>
      <c r="I3" s="184"/>
      <c r="J3" s="184"/>
      <c r="K3" s="184"/>
      <c r="L3" s="290" t="s">
        <v>310</v>
      </c>
      <c r="M3" s="291"/>
      <c r="N3" s="292"/>
      <c r="O3" s="94" t="s">
        <v>317</v>
      </c>
      <c r="P3" s="291" t="s">
        <v>318</v>
      </c>
      <c r="Q3" s="291"/>
      <c r="R3" s="292"/>
      <c r="S3" s="8"/>
      <c r="T3" s="8"/>
      <c r="U3" s="8"/>
      <c r="V3" s="8"/>
      <c r="W3" s="8"/>
      <c r="X3" s="8"/>
      <c r="Y3" s="8"/>
      <c r="Z3" s="8"/>
      <c r="AA3" s="8"/>
      <c r="AB3" s="8"/>
      <c r="AC3" s="8"/>
      <c r="AD3" s="8"/>
      <c r="AE3" s="8"/>
      <c r="AF3" s="8"/>
      <c r="AG3" s="8"/>
      <c r="AH3" s="8"/>
      <c r="AI3" s="8"/>
      <c r="AJ3" s="8"/>
    </row>
    <row r="4" spans="2:36" ht="39" thickBot="1" x14ac:dyDescent="0.3">
      <c r="B4" s="215" t="s">
        <v>0</v>
      </c>
      <c r="C4" s="217" t="s">
        <v>466</v>
      </c>
      <c r="D4" s="215" t="s">
        <v>1</v>
      </c>
      <c r="E4" s="215" t="s">
        <v>463</v>
      </c>
      <c r="F4" s="218" t="s">
        <v>465</v>
      </c>
      <c r="G4" s="215" t="s">
        <v>464</v>
      </c>
      <c r="H4" s="215" t="s">
        <v>2</v>
      </c>
      <c r="I4" s="297" t="s">
        <v>3</v>
      </c>
      <c r="J4" s="298"/>
      <c r="K4" s="299"/>
      <c r="L4" s="219" t="s">
        <v>311</v>
      </c>
      <c r="M4" s="219" t="s">
        <v>312</v>
      </c>
      <c r="N4" s="219" t="s">
        <v>313</v>
      </c>
      <c r="O4" s="220" t="s">
        <v>319</v>
      </c>
      <c r="P4" s="221" t="s">
        <v>4</v>
      </c>
      <c r="Q4" s="222" t="s">
        <v>5</v>
      </c>
      <c r="R4" s="131" t="s">
        <v>6</v>
      </c>
    </row>
    <row r="5" spans="2:36" s="17" customFormat="1" ht="22.5" x14ac:dyDescent="0.2">
      <c r="B5" s="118">
        <v>1</v>
      </c>
      <c r="C5" s="119" t="s">
        <v>51</v>
      </c>
      <c r="D5" s="223" t="s">
        <v>52</v>
      </c>
      <c r="E5" s="224" t="s">
        <v>498</v>
      </c>
      <c r="F5" s="225" t="s">
        <v>487</v>
      </c>
      <c r="G5" s="120" t="str">
        <f>UPPER(F5)</f>
        <v>VISITA TÉCNICA AO HOSP. DAS CLÍNICAS DE SP E SIRIO LIBANÊS.</v>
      </c>
      <c r="H5" s="120" t="s">
        <v>53</v>
      </c>
      <c r="I5" s="121">
        <v>43132</v>
      </c>
      <c r="J5" s="122">
        <v>5</v>
      </c>
      <c r="K5" s="123">
        <v>5</v>
      </c>
      <c r="L5" s="148">
        <v>0</v>
      </c>
      <c r="M5" s="148">
        <v>76.34</v>
      </c>
      <c r="N5" s="148"/>
      <c r="O5" s="130">
        <v>28.84</v>
      </c>
      <c r="P5" s="125">
        <f>1345.68+1345.8</f>
        <v>2691.48</v>
      </c>
      <c r="Q5" s="126">
        <v>0</v>
      </c>
      <c r="R5" s="127">
        <f t="shared" ref="R5:R26" si="0">L5+M5+N5+O5+P5+Q5</f>
        <v>2796.66</v>
      </c>
      <c r="S5" s="16"/>
      <c r="T5" s="16"/>
      <c r="U5" s="16"/>
      <c r="V5" s="16"/>
    </row>
    <row r="6" spans="2:36" s="17" customFormat="1" ht="22.5" x14ac:dyDescent="0.2">
      <c r="B6" s="99">
        <v>2</v>
      </c>
      <c r="C6" s="57" t="s">
        <v>54</v>
      </c>
      <c r="D6" s="189" t="s">
        <v>55</v>
      </c>
      <c r="E6" s="216" t="s">
        <v>499</v>
      </c>
      <c r="F6" s="212" t="s">
        <v>487</v>
      </c>
      <c r="G6" s="9" t="str">
        <f>UPPER(F6)</f>
        <v>VISITA TÉCNICA AO HOSP. DAS CLÍNICAS DE SP E SIRIO LIBANÊS.</v>
      </c>
      <c r="H6" s="9" t="s">
        <v>53</v>
      </c>
      <c r="I6" s="18">
        <v>43132</v>
      </c>
      <c r="J6" s="10">
        <v>5</v>
      </c>
      <c r="K6" s="11">
        <v>5</v>
      </c>
      <c r="L6" s="58">
        <v>0</v>
      </c>
      <c r="M6" s="58">
        <v>81.84</v>
      </c>
      <c r="N6" s="58"/>
      <c r="O6" s="54">
        <f>34+46.5+14+39+45</f>
        <v>178.5</v>
      </c>
      <c r="P6" s="14">
        <f>1345.68+1345.8</f>
        <v>2691.48</v>
      </c>
      <c r="Q6" s="15">
        <v>0</v>
      </c>
      <c r="R6" s="98">
        <f t="shared" si="0"/>
        <v>2951.82</v>
      </c>
      <c r="S6" s="16"/>
      <c r="T6" s="16"/>
      <c r="U6" s="16"/>
      <c r="V6" s="16"/>
    </row>
    <row r="7" spans="2:36" s="17" customFormat="1" ht="45" x14ac:dyDescent="0.2">
      <c r="B7" s="99">
        <v>3</v>
      </c>
      <c r="C7" s="56" t="s">
        <v>56</v>
      </c>
      <c r="D7" s="189" t="s">
        <v>32</v>
      </c>
      <c r="E7" s="216" t="s">
        <v>500</v>
      </c>
      <c r="F7" s="213" t="s">
        <v>488</v>
      </c>
      <c r="G7" s="9" t="str">
        <f t="shared" ref="G7:G26" si="1">UPPER(F7)</f>
        <v>REUNIÃO - AUDIÊNCIA COM O SECRETÁRIO NACIONAL DE ATENÇÃO À SAÚDE SAS/MS- "PROGRAMA DE TRATAMENTO DA FALÊNCIA INTESTINAL"</v>
      </c>
      <c r="H7" s="9" t="s">
        <v>57</v>
      </c>
      <c r="I7" s="18">
        <v>43132</v>
      </c>
      <c r="J7" s="10">
        <v>6</v>
      </c>
      <c r="K7" s="55">
        <v>7</v>
      </c>
      <c r="L7" s="58">
        <v>54</v>
      </c>
      <c r="M7" s="58">
        <v>0</v>
      </c>
      <c r="N7" s="58"/>
      <c r="O7" s="54">
        <f>60+11</f>
        <v>71</v>
      </c>
      <c r="P7" s="14">
        <f>1937.61</f>
        <v>1937.61</v>
      </c>
      <c r="Q7" s="15">
        <f>251.9+71.5</f>
        <v>323.39999999999998</v>
      </c>
      <c r="R7" s="98">
        <f t="shared" si="0"/>
        <v>2386.0099999999998</v>
      </c>
      <c r="S7" s="16"/>
      <c r="T7" s="16"/>
      <c r="U7" s="16"/>
      <c r="V7" s="16"/>
    </row>
    <row r="8" spans="2:36" s="17" customFormat="1" ht="33.75" x14ac:dyDescent="0.2">
      <c r="B8" s="99">
        <v>4</v>
      </c>
      <c r="C8" s="57" t="s">
        <v>58</v>
      </c>
      <c r="D8" s="189" t="s">
        <v>11</v>
      </c>
      <c r="E8" s="9" t="s">
        <v>501</v>
      </c>
      <c r="F8" s="188" t="s">
        <v>489</v>
      </c>
      <c r="G8" s="9" t="str">
        <f t="shared" si="1"/>
        <v>PARTICIPAR DE  UMA AUDIÊNCIA COM O SECRETÁRIO NACIONAL DE ATENÇÃO À SAÚDE SAS/MS- PROF. FRANCISCO DE ASSIS FIGUEIREDO.</v>
      </c>
      <c r="H8" s="9" t="s">
        <v>9</v>
      </c>
      <c r="I8" s="18">
        <v>42767</v>
      </c>
      <c r="J8" s="10">
        <v>6</v>
      </c>
      <c r="K8" s="11">
        <v>7</v>
      </c>
      <c r="L8" s="58">
        <v>0</v>
      </c>
      <c r="M8" s="58">
        <v>0</v>
      </c>
      <c r="N8" s="58"/>
      <c r="O8" s="54">
        <v>0</v>
      </c>
      <c r="P8" s="14">
        <f>2016.61+1076.65+250</f>
        <v>3343.26</v>
      </c>
      <c r="Q8" s="15">
        <f>800+251.9+42.9</f>
        <v>1094.8000000000002</v>
      </c>
      <c r="R8" s="98">
        <f t="shared" si="0"/>
        <v>4438.0600000000004</v>
      </c>
      <c r="S8" s="16"/>
      <c r="T8" s="16"/>
      <c r="U8" s="16"/>
      <c r="V8" s="16"/>
    </row>
    <row r="9" spans="2:36" s="17" customFormat="1" ht="22.5" x14ac:dyDescent="0.2">
      <c r="B9" s="99">
        <v>5</v>
      </c>
      <c r="C9" s="57" t="s">
        <v>59</v>
      </c>
      <c r="D9" s="189" t="s">
        <v>60</v>
      </c>
      <c r="E9" s="216" t="s">
        <v>502</v>
      </c>
      <c r="F9" s="214" t="s">
        <v>490</v>
      </c>
      <c r="G9" s="9" t="str">
        <f t="shared" si="1"/>
        <v>NEGOCIAÇÃO PROGRAMA DE REABILITAÇÃO INTESTINAL. </v>
      </c>
      <c r="H9" s="9" t="s">
        <v>9</v>
      </c>
      <c r="I9" s="18">
        <v>42767</v>
      </c>
      <c r="J9" s="10">
        <v>7</v>
      </c>
      <c r="K9" s="11">
        <v>7</v>
      </c>
      <c r="L9" s="58">
        <v>0</v>
      </c>
      <c r="M9" s="58">
        <v>0</v>
      </c>
      <c r="N9" s="58"/>
      <c r="O9" s="54">
        <v>0</v>
      </c>
      <c r="P9" s="14">
        <v>2837.61</v>
      </c>
      <c r="Q9" s="15">
        <v>0</v>
      </c>
      <c r="R9" s="98">
        <f t="shared" si="0"/>
        <v>2837.61</v>
      </c>
      <c r="S9" s="16"/>
      <c r="T9" s="16"/>
      <c r="U9" s="16"/>
      <c r="V9" s="16"/>
    </row>
    <row r="10" spans="2:36" s="17" customFormat="1" ht="25.5" customHeight="1" x14ac:dyDescent="0.2">
      <c r="B10" s="99">
        <v>6</v>
      </c>
      <c r="C10" s="57" t="s">
        <v>61</v>
      </c>
      <c r="D10" s="24" t="s">
        <v>62</v>
      </c>
      <c r="E10" s="216" t="s">
        <v>503</v>
      </c>
      <c r="F10" s="188" t="s">
        <v>491</v>
      </c>
      <c r="G10" s="9" t="str">
        <f t="shared" si="1"/>
        <v>PARTICIPAR DA REUNIÃO NO BNDES PARA PRESTAÇÃO FINAL DE CONTAS DO PROJETO AGHU.</v>
      </c>
      <c r="H10" s="9" t="s">
        <v>45</v>
      </c>
      <c r="I10" s="18">
        <v>43132</v>
      </c>
      <c r="J10" s="10">
        <v>22</v>
      </c>
      <c r="K10" s="11">
        <v>23</v>
      </c>
      <c r="L10" s="58">
        <v>24.75</v>
      </c>
      <c r="M10" s="58">
        <v>174.66</v>
      </c>
      <c r="N10" s="58"/>
      <c r="O10" s="54">
        <f>39.24+35+74.05</f>
        <v>148.29000000000002</v>
      </c>
      <c r="P10" s="14">
        <f>1054.48</f>
        <v>1054.48</v>
      </c>
      <c r="Q10" s="15">
        <f>284.46+8.14</f>
        <v>292.59999999999997</v>
      </c>
      <c r="R10" s="98">
        <f t="shared" si="0"/>
        <v>1694.78</v>
      </c>
      <c r="S10" s="16"/>
      <c r="T10" s="16"/>
      <c r="U10" s="16"/>
      <c r="V10" s="16"/>
    </row>
    <row r="11" spans="2:36" s="17" customFormat="1" ht="12.75" x14ac:dyDescent="0.2">
      <c r="B11" s="99">
        <v>7</v>
      </c>
      <c r="C11" s="57" t="s">
        <v>63</v>
      </c>
      <c r="D11" s="189" t="s">
        <v>23</v>
      </c>
      <c r="E11" s="9" t="s">
        <v>483</v>
      </c>
      <c r="F11" s="211" t="s">
        <v>516</v>
      </c>
      <c r="G11" s="9" t="str">
        <f t="shared" si="1"/>
        <v>REUNIÃO DO CONSELHO DIRETOR</v>
      </c>
      <c r="H11" s="10" t="s">
        <v>24</v>
      </c>
      <c r="I11" s="18">
        <v>43132</v>
      </c>
      <c r="J11" s="10">
        <v>18</v>
      </c>
      <c r="K11" s="11">
        <v>19</v>
      </c>
      <c r="L11" s="58">
        <v>0</v>
      </c>
      <c r="M11" s="58">
        <v>0</v>
      </c>
      <c r="N11" s="58"/>
      <c r="O11" s="54">
        <v>0</v>
      </c>
      <c r="P11" s="14">
        <f>2342.81</f>
        <v>2342.81</v>
      </c>
      <c r="Q11" s="15">
        <v>284.89999999999998</v>
      </c>
      <c r="R11" s="98">
        <f t="shared" si="0"/>
        <v>2627.71</v>
      </c>
      <c r="S11" s="16"/>
      <c r="T11" s="16"/>
      <c r="U11" s="16"/>
      <c r="V11" s="16"/>
    </row>
    <row r="12" spans="2:36" s="17" customFormat="1" ht="12.75" x14ac:dyDescent="0.2">
      <c r="B12" s="99">
        <v>8</v>
      </c>
      <c r="C12" s="56" t="s">
        <v>64</v>
      </c>
      <c r="D12" s="189" t="s">
        <v>26</v>
      </c>
      <c r="E12" s="9" t="s">
        <v>483</v>
      </c>
      <c r="F12" s="211" t="s">
        <v>516</v>
      </c>
      <c r="G12" s="9" t="str">
        <f t="shared" si="1"/>
        <v>REUNIÃO DO CONSELHO DIRETOR</v>
      </c>
      <c r="H12" s="10" t="s">
        <v>24</v>
      </c>
      <c r="I12" s="18">
        <v>43132</v>
      </c>
      <c r="J12" s="10">
        <v>18</v>
      </c>
      <c r="K12" s="11">
        <v>19</v>
      </c>
      <c r="L12" s="58">
        <v>0</v>
      </c>
      <c r="M12" s="58">
        <v>0</v>
      </c>
      <c r="N12" s="58"/>
      <c r="O12" s="54">
        <v>0</v>
      </c>
      <c r="P12" s="14">
        <v>1172.8599999999999</v>
      </c>
      <c r="Q12" s="15">
        <f>2849+40.59</f>
        <v>2889.59</v>
      </c>
      <c r="R12" s="98">
        <f t="shared" si="0"/>
        <v>4062.45</v>
      </c>
      <c r="S12" s="16"/>
      <c r="T12" s="16"/>
      <c r="U12" s="16"/>
      <c r="V12" s="16"/>
    </row>
    <row r="13" spans="2:36" s="17" customFormat="1" ht="28.5" customHeight="1" x14ac:dyDescent="0.2">
      <c r="B13" s="99">
        <v>9</v>
      </c>
      <c r="C13" s="56" t="s">
        <v>65</v>
      </c>
      <c r="D13" s="189" t="s">
        <v>66</v>
      </c>
      <c r="E13" s="9" t="s">
        <v>504</v>
      </c>
      <c r="F13" s="188" t="s">
        <v>492</v>
      </c>
      <c r="G13" s="9" t="str">
        <f t="shared" si="1"/>
        <v>PARTICIPAR DE REUNIÃO NO BNDES, PARA ENTREGA DA ÚLTIMA PRESTAÇÃO DE CONTAS.AGHU.</v>
      </c>
      <c r="H13" s="9" t="s">
        <v>45</v>
      </c>
      <c r="I13" s="18">
        <v>43132</v>
      </c>
      <c r="J13" s="10">
        <v>22</v>
      </c>
      <c r="K13" s="11">
        <v>23</v>
      </c>
      <c r="L13" s="58">
        <v>0</v>
      </c>
      <c r="M13" s="58">
        <v>157.66</v>
      </c>
      <c r="N13" s="58"/>
      <c r="O13" s="54">
        <v>0</v>
      </c>
      <c r="P13" s="14">
        <f>380.68+673.8</f>
        <v>1054.48</v>
      </c>
      <c r="Q13" s="15">
        <f>(284.46+8.14)/2</f>
        <v>146.29999999999998</v>
      </c>
      <c r="R13" s="98">
        <f t="shared" si="0"/>
        <v>1358.44</v>
      </c>
      <c r="S13" s="16"/>
      <c r="T13" s="16"/>
      <c r="U13" s="16"/>
      <c r="V13" s="16"/>
    </row>
    <row r="14" spans="2:36" s="17" customFormat="1" ht="29.25" customHeight="1" x14ac:dyDescent="0.2">
      <c r="B14" s="99">
        <v>10</v>
      </c>
      <c r="C14" s="56" t="s">
        <v>67</v>
      </c>
      <c r="D14" s="189" t="s">
        <v>68</v>
      </c>
      <c r="E14" s="9" t="s">
        <v>504</v>
      </c>
      <c r="F14" s="193" t="s">
        <v>492</v>
      </c>
      <c r="G14" s="9" t="str">
        <f t="shared" si="1"/>
        <v>PARTICIPAR DE REUNIÃO NO BNDES, PARA ENTREGA DA ÚLTIMA PRESTAÇÃO DE CONTAS.AGHU.</v>
      </c>
      <c r="H14" s="9" t="s">
        <v>45</v>
      </c>
      <c r="I14" s="18">
        <v>43132</v>
      </c>
      <c r="J14" s="10">
        <v>22</v>
      </c>
      <c r="K14" s="11">
        <v>23</v>
      </c>
      <c r="L14" s="58">
        <v>0</v>
      </c>
      <c r="M14" s="58">
        <v>157.66</v>
      </c>
      <c r="N14" s="58"/>
      <c r="O14" s="54">
        <v>0</v>
      </c>
      <c r="P14" s="14">
        <f>380.68+673.8</f>
        <v>1054.48</v>
      </c>
      <c r="Q14" s="15">
        <f>(284.46+8.14)/2</f>
        <v>146.29999999999998</v>
      </c>
      <c r="R14" s="98">
        <f t="shared" si="0"/>
        <v>1358.44</v>
      </c>
      <c r="S14" s="16"/>
      <c r="T14" s="16"/>
      <c r="U14" s="16"/>
      <c r="V14" s="16"/>
    </row>
    <row r="15" spans="2:36" s="17" customFormat="1" ht="12.75" x14ac:dyDescent="0.2">
      <c r="B15" s="99">
        <v>11</v>
      </c>
      <c r="C15" s="56" t="s">
        <v>69</v>
      </c>
      <c r="D15" s="189" t="s">
        <v>70</v>
      </c>
      <c r="E15" s="216" t="s">
        <v>505</v>
      </c>
      <c r="F15" s="195" t="s">
        <v>493</v>
      </c>
      <c r="G15" s="9" t="str">
        <f t="shared" si="1"/>
        <v>REUNIÃO NA SEST.</v>
      </c>
      <c r="H15" s="10" t="s">
        <v>9</v>
      </c>
      <c r="I15" s="18">
        <v>43132</v>
      </c>
      <c r="J15" s="10">
        <v>15</v>
      </c>
      <c r="K15" s="11">
        <v>15</v>
      </c>
      <c r="L15" s="58">
        <v>0</v>
      </c>
      <c r="M15" s="58">
        <v>141.51</v>
      </c>
      <c r="N15" s="58"/>
      <c r="O15" s="54">
        <f>31+42.07+27.57+60+20+43</f>
        <v>223.64</v>
      </c>
      <c r="P15" s="14">
        <f>1212.65</f>
        <v>1212.6500000000001</v>
      </c>
      <c r="Q15" s="15">
        <v>0</v>
      </c>
      <c r="R15" s="98">
        <f t="shared" si="0"/>
        <v>1577.8000000000002</v>
      </c>
      <c r="S15" s="16"/>
      <c r="T15" s="16"/>
      <c r="U15" s="16"/>
      <c r="V15" s="16"/>
    </row>
    <row r="16" spans="2:36" s="17" customFormat="1" ht="12.75" x14ac:dyDescent="0.2">
      <c r="B16" s="99">
        <v>12</v>
      </c>
      <c r="C16" s="56" t="s">
        <v>71</v>
      </c>
      <c r="D16" s="189" t="s">
        <v>72</v>
      </c>
      <c r="E16" s="216" t="s">
        <v>506</v>
      </c>
      <c r="F16" s="195" t="s">
        <v>493</v>
      </c>
      <c r="G16" s="9" t="str">
        <f t="shared" si="1"/>
        <v>REUNIÃO NA SEST.</v>
      </c>
      <c r="H16" s="10" t="s">
        <v>9</v>
      </c>
      <c r="I16" s="18">
        <v>43132</v>
      </c>
      <c r="J16" s="10">
        <v>15</v>
      </c>
      <c r="K16" s="11">
        <v>15</v>
      </c>
      <c r="L16" s="58">
        <v>0</v>
      </c>
      <c r="M16" s="58">
        <v>0</v>
      </c>
      <c r="N16" s="58"/>
      <c r="O16" s="54">
        <f>45+57</f>
        <v>102</v>
      </c>
      <c r="P16" s="14">
        <v>894.37</v>
      </c>
      <c r="Q16" s="15">
        <v>0</v>
      </c>
      <c r="R16" s="98">
        <f t="shared" si="0"/>
        <v>996.37</v>
      </c>
      <c r="S16" s="16"/>
      <c r="T16" s="16"/>
      <c r="U16" s="16"/>
      <c r="V16" s="16"/>
    </row>
    <row r="17" spans="2:22" s="17" customFormat="1" ht="33.75" x14ac:dyDescent="0.2">
      <c r="B17" s="99">
        <v>13</v>
      </c>
      <c r="C17" s="56" t="s">
        <v>73</v>
      </c>
      <c r="D17" s="189" t="s">
        <v>74</v>
      </c>
      <c r="E17" s="216" t="s">
        <v>507</v>
      </c>
      <c r="F17" s="188" t="s">
        <v>494</v>
      </c>
      <c r="G17" s="9" t="str">
        <f t="shared" si="1"/>
        <v>DIAGNÓSTICO PARA IMPLANTAÇÃO DO AGHUSE NO HMAB - HOSPITAL MILITAR DE ÁREA DE BRASÍLIA, DO EXÉRCITO BRASILEIRO.</v>
      </c>
      <c r="H17" s="10" t="s">
        <v>9</v>
      </c>
      <c r="I17" s="18">
        <v>43132</v>
      </c>
      <c r="J17" s="10">
        <v>21</v>
      </c>
      <c r="K17" s="11">
        <v>23</v>
      </c>
      <c r="L17" s="58">
        <v>98</v>
      </c>
      <c r="M17" s="58">
        <v>84.04</v>
      </c>
      <c r="N17" s="58"/>
      <c r="O17" s="54">
        <v>0</v>
      </c>
      <c r="P17" s="14">
        <v>1669.61</v>
      </c>
      <c r="Q17" s="15">
        <f>503.8+79.2</f>
        <v>583</v>
      </c>
      <c r="R17" s="98">
        <f t="shared" si="0"/>
        <v>2434.6499999999996</v>
      </c>
      <c r="S17" s="16"/>
      <c r="T17" s="16"/>
      <c r="U17" s="16"/>
      <c r="V17" s="16"/>
    </row>
    <row r="18" spans="2:22" s="17" customFormat="1" ht="33.75" x14ac:dyDescent="0.2">
      <c r="B18" s="99">
        <v>14</v>
      </c>
      <c r="C18" s="56" t="s">
        <v>75</v>
      </c>
      <c r="D18" s="189" t="s">
        <v>76</v>
      </c>
      <c r="E18" s="216" t="s">
        <v>508</v>
      </c>
      <c r="F18" s="193" t="s">
        <v>494</v>
      </c>
      <c r="G18" s="9" t="str">
        <f t="shared" si="1"/>
        <v>DIAGNÓSTICO PARA IMPLANTAÇÃO DO AGHUSE NO HMAB - HOSPITAL MILITAR DE ÁREA DE BRASÍLIA, DO EXÉRCITO BRASILEIRO.</v>
      </c>
      <c r="H18" s="10" t="s">
        <v>9</v>
      </c>
      <c r="I18" s="18">
        <v>43132</v>
      </c>
      <c r="J18" s="10">
        <v>21</v>
      </c>
      <c r="K18" s="11">
        <v>23</v>
      </c>
      <c r="L18" s="58">
        <v>68</v>
      </c>
      <c r="M18" s="58">
        <v>93.54</v>
      </c>
      <c r="N18" s="58"/>
      <c r="O18" s="54">
        <v>0</v>
      </c>
      <c r="P18" s="14">
        <v>1669.61</v>
      </c>
      <c r="Q18" s="15">
        <f>503.8+37.4</f>
        <v>541.20000000000005</v>
      </c>
      <c r="R18" s="98">
        <f t="shared" si="0"/>
        <v>2372.35</v>
      </c>
      <c r="S18" s="16"/>
      <c r="T18" s="16"/>
      <c r="U18" s="16"/>
      <c r="V18" s="16"/>
    </row>
    <row r="19" spans="2:22" s="17" customFormat="1" ht="33.75" x14ac:dyDescent="0.2">
      <c r="B19" s="99">
        <v>15</v>
      </c>
      <c r="C19" s="56" t="s">
        <v>77</v>
      </c>
      <c r="D19" s="189" t="s">
        <v>78</v>
      </c>
      <c r="E19" s="216" t="s">
        <v>508</v>
      </c>
      <c r="F19" s="193" t="s">
        <v>494</v>
      </c>
      <c r="G19" s="9" t="str">
        <f t="shared" si="1"/>
        <v>DIAGNÓSTICO PARA IMPLANTAÇÃO DO AGHUSE NO HMAB - HOSPITAL MILITAR DE ÁREA DE BRASÍLIA, DO EXÉRCITO BRASILEIRO.</v>
      </c>
      <c r="H19" s="10" t="s">
        <v>9</v>
      </c>
      <c r="I19" s="18">
        <v>43133</v>
      </c>
      <c r="J19" s="10">
        <v>21</v>
      </c>
      <c r="K19" s="11">
        <v>23</v>
      </c>
      <c r="L19" s="58">
        <v>98</v>
      </c>
      <c r="M19" s="58">
        <v>89.76</v>
      </c>
      <c r="N19" s="58"/>
      <c r="O19" s="54">
        <v>0</v>
      </c>
      <c r="P19" s="14">
        <v>1669.61</v>
      </c>
      <c r="Q19" s="15">
        <v>503.8</v>
      </c>
      <c r="R19" s="98">
        <f t="shared" si="0"/>
        <v>2361.17</v>
      </c>
      <c r="S19" s="16"/>
      <c r="T19" s="16"/>
      <c r="U19" s="16"/>
      <c r="V19" s="16"/>
    </row>
    <row r="20" spans="2:22" s="17" customFormat="1" ht="33.75" x14ac:dyDescent="0.2">
      <c r="B20" s="99">
        <v>16</v>
      </c>
      <c r="C20" s="56" t="s">
        <v>79</v>
      </c>
      <c r="D20" s="189" t="s">
        <v>47</v>
      </c>
      <c r="E20" s="216" t="s">
        <v>509</v>
      </c>
      <c r="F20" s="193" t="s">
        <v>494</v>
      </c>
      <c r="G20" s="9" t="str">
        <f t="shared" si="1"/>
        <v>DIAGNÓSTICO PARA IMPLANTAÇÃO DO AGHUSE NO HMAB - HOSPITAL MILITAR DE ÁREA DE BRASÍLIA, DO EXÉRCITO BRASILEIRO.</v>
      </c>
      <c r="H20" s="10" t="s">
        <v>9</v>
      </c>
      <c r="I20" s="18">
        <v>43134</v>
      </c>
      <c r="J20" s="10">
        <v>22</v>
      </c>
      <c r="K20" s="11">
        <v>23</v>
      </c>
      <c r="L20" s="58">
        <v>109</v>
      </c>
      <c r="M20" s="58">
        <v>79.64</v>
      </c>
      <c r="N20" s="58"/>
      <c r="O20" s="54">
        <v>0</v>
      </c>
      <c r="P20" s="14">
        <f>710.68+1447.93</f>
        <v>2158.61</v>
      </c>
      <c r="Q20" s="15">
        <v>251.9</v>
      </c>
      <c r="R20" s="98">
        <f t="shared" si="0"/>
        <v>2599.15</v>
      </c>
      <c r="S20" s="16"/>
      <c r="T20" s="16"/>
      <c r="U20" s="16"/>
      <c r="V20" s="16"/>
    </row>
    <row r="21" spans="2:22" s="17" customFormat="1" ht="12.75" x14ac:dyDescent="0.2">
      <c r="B21" s="99">
        <v>17</v>
      </c>
      <c r="C21" s="56" t="s">
        <v>80</v>
      </c>
      <c r="D21" s="189" t="s">
        <v>81</v>
      </c>
      <c r="E21" s="216" t="s">
        <v>510</v>
      </c>
      <c r="F21" s="195" t="s">
        <v>495</v>
      </c>
      <c r="G21" s="9" t="str">
        <f t="shared" si="1"/>
        <v>REUNIÃO NA BB PREVIDÊNIA.</v>
      </c>
      <c r="H21" s="9" t="s">
        <v>9</v>
      </c>
      <c r="I21" s="18">
        <v>43132</v>
      </c>
      <c r="J21" s="10">
        <v>22</v>
      </c>
      <c r="K21" s="11">
        <v>22</v>
      </c>
      <c r="L21" s="58">
        <v>0</v>
      </c>
      <c r="M21" s="58">
        <v>46.3</v>
      </c>
      <c r="N21" s="58"/>
      <c r="O21" s="54">
        <f>53+48+47+74</f>
        <v>222</v>
      </c>
      <c r="P21" s="14">
        <f>468.78+1417.93</f>
        <v>1886.71</v>
      </c>
      <c r="Q21" s="15">
        <v>0</v>
      </c>
      <c r="R21" s="98">
        <f t="shared" si="0"/>
        <v>2155.0100000000002</v>
      </c>
      <c r="S21" s="16"/>
      <c r="T21" s="16"/>
      <c r="U21" s="16"/>
      <c r="V21" s="16"/>
    </row>
    <row r="22" spans="2:22" s="17" customFormat="1" ht="22.5" x14ac:dyDescent="0.2">
      <c r="B22" s="99">
        <v>18</v>
      </c>
      <c r="C22" s="56" t="s">
        <v>82</v>
      </c>
      <c r="D22" s="189" t="s">
        <v>83</v>
      </c>
      <c r="E22" s="216" t="s">
        <v>511</v>
      </c>
      <c r="F22" s="195" t="s">
        <v>495</v>
      </c>
      <c r="G22" s="9" t="str">
        <f t="shared" si="1"/>
        <v>REUNIÃO NA BB PREVIDÊNIA.</v>
      </c>
      <c r="H22" s="9" t="s">
        <v>9</v>
      </c>
      <c r="I22" s="18">
        <v>43133</v>
      </c>
      <c r="J22" s="10">
        <v>22</v>
      </c>
      <c r="K22" s="11">
        <v>22</v>
      </c>
      <c r="L22" s="58">
        <v>0</v>
      </c>
      <c r="M22" s="58">
        <v>36.5</v>
      </c>
      <c r="N22" s="58"/>
      <c r="O22" s="54">
        <f>26+29</f>
        <v>55</v>
      </c>
      <c r="P22" s="14">
        <f>468.78+1417.93</f>
        <v>1886.71</v>
      </c>
      <c r="Q22" s="15">
        <v>0</v>
      </c>
      <c r="R22" s="98">
        <f t="shared" si="0"/>
        <v>1978.21</v>
      </c>
      <c r="S22" s="16"/>
      <c r="T22" s="16"/>
      <c r="U22" s="16"/>
      <c r="V22" s="16"/>
    </row>
    <row r="23" spans="2:22" s="17" customFormat="1" ht="12.75" x14ac:dyDescent="0.2">
      <c r="B23" s="99">
        <v>19</v>
      </c>
      <c r="C23" s="56" t="s">
        <v>84</v>
      </c>
      <c r="D23" s="189" t="s">
        <v>85</v>
      </c>
      <c r="E23" s="216" t="s">
        <v>512</v>
      </c>
      <c r="F23" s="195" t="s">
        <v>495</v>
      </c>
      <c r="G23" s="9" t="str">
        <f t="shared" si="1"/>
        <v>REUNIÃO NA BB PREVIDÊNIA.</v>
      </c>
      <c r="H23" s="9" t="s">
        <v>9</v>
      </c>
      <c r="I23" s="18">
        <v>43134</v>
      </c>
      <c r="J23" s="10">
        <v>22</v>
      </c>
      <c r="K23" s="11">
        <v>22</v>
      </c>
      <c r="L23" s="58">
        <v>0</v>
      </c>
      <c r="M23" s="58">
        <v>119.2</v>
      </c>
      <c r="N23" s="58">
        <v>795.2</v>
      </c>
      <c r="O23" s="54">
        <f>28+42</f>
        <v>70</v>
      </c>
      <c r="P23" s="14">
        <f>468.78+1417.93</f>
        <v>1886.71</v>
      </c>
      <c r="Q23" s="15">
        <v>0</v>
      </c>
      <c r="R23" s="98">
        <f t="shared" si="0"/>
        <v>2871.11</v>
      </c>
      <c r="S23" s="16"/>
      <c r="T23" s="16"/>
      <c r="U23" s="16"/>
      <c r="V23" s="16"/>
    </row>
    <row r="24" spans="2:22" s="17" customFormat="1" ht="56.25" x14ac:dyDescent="0.2">
      <c r="B24" s="99">
        <v>20</v>
      </c>
      <c r="C24" s="56" t="s">
        <v>86</v>
      </c>
      <c r="D24" s="189" t="s">
        <v>13</v>
      </c>
      <c r="E24" s="216" t="s">
        <v>513</v>
      </c>
      <c r="F24" s="193" t="s">
        <v>496</v>
      </c>
      <c r="G24" s="9" t="str">
        <f t="shared" si="1"/>
        <v> REUNIÃO DE ALINHAMENTO ESTRATÉGICO E ORIENTAÇÕES INSTITUCIONAIS - NEGOCIAÇÃO COLETIVA 2018 – HCPA             LOCAL: SEST - DEPARTAMENTO DE POLÍTICA DE PESSOAL E PREVIDÊNCIA COMPLEMENTAR DE ESTATAIS.</v>
      </c>
      <c r="H24" s="9" t="s">
        <v>9</v>
      </c>
      <c r="I24" s="18">
        <v>43135</v>
      </c>
      <c r="J24" s="10">
        <v>23</v>
      </c>
      <c r="K24" s="11">
        <v>23</v>
      </c>
      <c r="L24" s="58">
        <v>0</v>
      </c>
      <c r="M24" s="58">
        <v>0</v>
      </c>
      <c r="N24" s="58"/>
      <c r="O24" s="54">
        <v>0</v>
      </c>
      <c r="P24" s="14">
        <f>1932.71+390</f>
        <v>2322.71</v>
      </c>
      <c r="Q24" s="15">
        <v>0</v>
      </c>
      <c r="R24" s="98">
        <f t="shared" si="0"/>
        <v>2322.71</v>
      </c>
      <c r="S24" s="16"/>
      <c r="T24" s="16"/>
      <c r="U24" s="16"/>
      <c r="V24" s="16"/>
    </row>
    <row r="25" spans="2:22" s="17" customFormat="1" ht="56.25" x14ac:dyDescent="0.2">
      <c r="B25" s="99">
        <v>21</v>
      </c>
      <c r="C25" s="56" t="s">
        <v>87</v>
      </c>
      <c r="D25" s="189" t="s">
        <v>15</v>
      </c>
      <c r="E25" s="216" t="s">
        <v>477</v>
      </c>
      <c r="F25" s="188" t="s">
        <v>496</v>
      </c>
      <c r="G25" s="9" t="str">
        <f t="shared" si="1"/>
        <v> REUNIÃO DE ALINHAMENTO ESTRATÉGICO E ORIENTAÇÕES INSTITUCIONAIS - NEGOCIAÇÃO COLETIVA 2018 – HCPA             LOCAL: SEST - DEPARTAMENTO DE POLÍTICA DE PESSOAL E PREVIDÊNCIA COMPLEMENTAR DE ESTATAIS.</v>
      </c>
      <c r="H25" s="9" t="s">
        <v>9</v>
      </c>
      <c r="I25" s="18">
        <v>43136</v>
      </c>
      <c r="J25" s="10">
        <v>23</v>
      </c>
      <c r="K25" s="11">
        <v>23</v>
      </c>
      <c r="L25" s="58">
        <v>0</v>
      </c>
      <c r="M25" s="58">
        <v>0</v>
      </c>
      <c r="N25" s="58"/>
      <c r="O25" s="54">
        <v>0</v>
      </c>
      <c r="P25" s="14">
        <f>1932.71+220+170</f>
        <v>2322.71</v>
      </c>
      <c r="Q25" s="15">
        <v>0</v>
      </c>
      <c r="R25" s="98">
        <f t="shared" si="0"/>
        <v>2322.71</v>
      </c>
      <c r="S25" s="16"/>
      <c r="T25" s="16"/>
      <c r="U25" s="16"/>
      <c r="V25" s="16"/>
    </row>
    <row r="26" spans="2:22" s="17" customFormat="1" ht="34.5" thickBot="1" x14ac:dyDescent="0.25">
      <c r="B26" s="100">
        <v>22</v>
      </c>
      <c r="C26" s="101" t="s">
        <v>88</v>
      </c>
      <c r="D26" s="191" t="s">
        <v>514</v>
      </c>
      <c r="E26" s="102" t="s">
        <v>515</v>
      </c>
      <c r="F26" s="196" t="s">
        <v>497</v>
      </c>
      <c r="G26" s="102" t="str">
        <f t="shared" si="1"/>
        <v>RECREDENCIAMENTO DE ESTÁGIOS EM CLÍNICA MÉDICA - HOSPITAL DE CLÍNICAS DE PORTO ALEGRE.</v>
      </c>
      <c r="H26" s="102" t="s">
        <v>89</v>
      </c>
      <c r="I26" s="103">
        <v>43160</v>
      </c>
      <c r="J26" s="104">
        <v>7</v>
      </c>
      <c r="K26" s="105">
        <v>8</v>
      </c>
      <c r="L26" s="149">
        <v>0</v>
      </c>
      <c r="M26" s="149">
        <v>0</v>
      </c>
      <c r="N26" s="149"/>
      <c r="O26" s="106">
        <v>0</v>
      </c>
      <c r="P26" s="107">
        <v>1307.55</v>
      </c>
      <c r="Q26" s="108">
        <f>317.9+64.9</f>
        <v>382.79999999999995</v>
      </c>
      <c r="R26" s="109">
        <f t="shared" si="0"/>
        <v>1690.35</v>
      </c>
      <c r="S26" s="16"/>
      <c r="T26" s="16"/>
      <c r="U26" s="16"/>
      <c r="V26" s="16"/>
    </row>
    <row r="27" spans="2:22" s="16" customFormat="1" ht="12" x14ac:dyDescent="0.2">
      <c r="B27" s="20"/>
      <c r="C27" s="21"/>
      <c r="D27" s="22"/>
      <c r="E27" s="22"/>
      <c r="F27" s="22"/>
      <c r="G27" s="22"/>
      <c r="H27" s="22"/>
      <c r="I27" s="23"/>
      <c r="J27" s="24"/>
      <c r="K27" s="25"/>
      <c r="L27" s="26"/>
      <c r="M27" s="26"/>
      <c r="N27" s="26"/>
      <c r="O27" s="27"/>
      <c r="P27" s="28"/>
      <c r="Q27" s="29"/>
      <c r="R27" s="30"/>
    </row>
    <row r="28" spans="2:22" s="31" customFormat="1" ht="15.75" x14ac:dyDescent="0.25">
      <c r="C28" s="32"/>
      <c r="D28" s="32"/>
      <c r="E28" s="32"/>
      <c r="F28" s="32"/>
      <c r="G28" s="32"/>
      <c r="H28" s="34"/>
      <c r="I28" s="32"/>
      <c r="J28" s="20"/>
      <c r="K28" s="33"/>
      <c r="L28" s="35">
        <f t="shared" ref="L28:Q28" si="2">SUM(L5:L26)</f>
        <v>451.75</v>
      </c>
      <c r="M28" s="35">
        <f t="shared" si="2"/>
        <v>1338.65</v>
      </c>
      <c r="N28" s="35">
        <f t="shared" si="2"/>
        <v>795.2</v>
      </c>
      <c r="O28" s="36">
        <f t="shared" si="2"/>
        <v>1099.27</v>
      </c>
      <c r="P28" s="38">
        <f t="shared" si="2"/>
        <v>41068.11</v>
      </c>
      <c r="Q28" s="39">
        <f t="shared" si="2"/>
        <v>7440.5900000000011</v>
      </c>
      <c r="R28" s="37">
        <f>SUM(R5:R26)+O29</f>
        <v>52204.562699999995</v>
      </c>
    </row>
    <row r="29" spans="2:22" s="40" customFormat="1" ht="16.5" thickBot="1" x14ac:dyDescent="0.3">
      <c r="C29" s="41"/>
      <c r="D29" s="288"/>
      <c r="E29" s="288"/>
      <c r="F29" s="288"/>
      <c r="G29" s="288"/>
      <c r="H29" s="288"/>
      <c r="I29" s="288"/>
      <c r="J29" s="288"/>
      <c r="K29" s="42"/>
      <c r="L29" s="43"/>
      <c r="M29" s="91"/>
      <c r="N29" s="91" t="s">
        <v>315</v>
      </c>
      <c r="O29" s="27">
        <f>O28*1%</f>
        <v>10.992699999999999</v>
      </c>
      <c r="R29" s="44"/>
    </row>
    <row r="30" spans="2:22" s="40" customFormat="1" ht="16.5" thickBot="1" x14ac:dyDescent="0.3">
      <c r="C30" s="41"/>
      <c r="D30" s="41"/>
      <c r="E30" s="41"/>
      <c r="F30" s="41"/>
      <c r="G30" s="41"/>
      <c r="H30" s="45"/>
      <c r="I30" s="41"/>
      <c r="J30" s="41"/>
      <c r="K30" s="42"/>
      <c r="L30" s="43"/>
      <c r="M30" s="43"/>
      <c r="N30" s="43"/>
      <c r="O30" s="93">
        <f>O28+O29</f>
        <v>1110.2627</v>
      </c>
      <c r="P30" s="46"/>
      <c r="Q30" s="44"/>
      <c r="R30" s="47" t="s">
        <v>50</v>
      </c>
    </row>
    <row r="31" spans="2:22" s="40" customFormat="1" x14ac:dyDescent="0.2">
      <c r="C31" s="41"/>
      <c r="D31" s="289"/>
      <c r="E31" s="289"/>
      <c r="F31" s="289"/>
      <c r="G31" s="289"/>
      <c r="H31" s="289"/>
      <c r="I31" s="289"/>
      <c r="J31" s="289"/>
      <c r="K31" s="42"/>
      <c r="L31" s="43"/>
      <c r="M31" s="43"/>
      <c r="N31" s="43"/>
      <c r="O31" s="27"/>
      <c r="P31" s="5" t="s">
        <v>49</v>
      </c>
      <c r="Q31" s="167">
        <f>L28+M28+N28+O30+P28+Q28</f>
        <v>52204.562700000002</v>
      </c>
      <c r="R31" s="48">
        <f>R28-Q31</f>
        <v>0</v>
      </c>
    </row>
    <row r="32" spans="2:22" ht="15.75" x14ac:dyDescent="0.25">
      <c r="C32" s="49"/>
      <c r="D32" s="50"/>
      <c r="E32" s="50"/>
      <c r="F32" s="50"/>
      <c r="G32" s="50"/>
      <c r="H32" s="51"/>
      <c r="I32" s="52"/>
      <c r="J32" s="52"/>
      <c r="K32" s="52"/>
      <c r="M32" s="91"/>
      <c r="N32" s="91" t="s">
        <v>315</v>
      </c>
      <c r="O32" s="27" t="s">
        <v>316</v>
      </c>
    </row>
    <row r="33" spans="3:18" x14ac:dyDescent="0.25">
      <c r="C33" s="49"/>
      <c r="D33" s="50"/>
      <c r="E33" s="50"/>
      <c r="F33" s="50"/>
      <c r="G33" s="50"/>
      <c r="H33" s="51"/>
      <c r="I33" s="52"/>
      <c r="J33" s="52"/>
      <c r="K33" s="52"/>
      <c r="O33" s="27"/>
    </row>
    <row r="34" spans="3:18" x14ac:dyDescent="0.25">
      <c r="C34" s="49"/>
      <c r="D34" s="50"/>
      <c r="E34" s="50"/>
      <c r="F34" s="50"/>
      <c r="G34" s="50"/>
      <c r="H34" s="51"/>
      <c r="I34" s="52"/>
      <c r="J34" s="52"/>
      <c r="K34" s="52"/>
      <c r="O34" s="27"/>
    </row>
    <row r="35" spans="3:18" x14ac:dyDescent="0.25">
      <c r="C35" s="49"/>
      <c r="D35" s="50"/>
      <c r="E35" s="50"/>
      <c r="F35" s="50"/>
      <c r="G35" s="50"/>
      <c r="H35" s="51"/>
      <c r="I35" s="52"/>
      <c r="J35" s="52"/>
      <c r="K35" s="52"/>
      <c r="O35" s="27"/>
    </row>
    <row r="36" spans="3:18" x14ac:dyDescent="0.25">
      <c r="C36" s="49"/>
      <c r="D36" s="50"/>
      <c r="E36" s="50"/>
      <c r="F36" s="50"/>
      <c r="G36" s="50"/>
      <c r="H36" s="51"/>
      <c r="I36" s="52"/>
      <c r="J36" s="52"/>
      <c r="K36" s="52"/>
      <c r="O36" s="27"/>
    </row>
    <row r="37" spans="3:18" x14ac:dyDescent="0.25">
      <c r="C37" s="49"/>
      <c r="D37" s="50"/>
      <c r="E37" s="50"/>
      <c r="F37" s="50"/>
      <c r="G37" s="50"/>
      <c r="H37" s="51"/>
      <c r="I37" s="52"/>
      <c r="J37" s="52"/>
      <c r="K37" s="52"/>
      <c r="O37" s="27"/>
    </row>
    <row r="38" spans="3:18" x14ac:dyDescent="0.25">
      <c r="C38" s="49"/>
      <c r="D38" s="50"/>
      <c r="E38" s="50"/>
      <c r="F38" s="50"/>
      <c r="G38" s="50"/>
      <c r="H38" s="51"/>
      <c r="I38" s="52"/>
      <c r="J38" s="52"/>
      <c r="K38" s="52"/>
      <c r="O38" s="27"/>
    </row>
    <row r="39" spans="3:18" x14ac:dyDescent="0.25">
      <c r="C39" s="49"/>
      <c r="D39" s="50"/>
      <c r="E39" s="50"/>
      <c r="F39" s="50"/>
      <c r="G39" s="50"/>
      <c r="H39" s="51"/>
      <c r="I39" s="52"/>
      <c r="J39" s="52"/>
      <c r="K39" s="52"/>
      <c r="O39" s="27"/>
    </row>
    <row r="40" spans="3:18" x14ac:dyDescent="0.25">
      <c r="C40" s="49"/>
      <c r="H40" s="51"/>
      <c r="I40" s="52"/>
      <c r="J40" s="52"/>
      <c r="K40" s="52"/>
      <c r="O40" s="27"/>
    </row>
    <row r="41" spans="3:18" x14ac:dyDescent="0.25">
      <c r="C41" s="49"/>
      <c r="D41" s="50"/>
      <c r="E41" s="50"/>
      <c r="F41" s="50"/>
      <c r="G41" s="50"/>
      <c r="H41" s="51"/>
      <c r="I41" s="52"/>
      <c r="J41" s="52"/>
      <c r="K41" s="52"/>
      <c r="O41" s="27"/>
    </row>
    <row r="42" spans="3:18" x14ac:dyDescent="0.25">
      <c r="C42" s="49"/>
      <c r="D42" s="50"/>
      <c r="E42" s="50"/>
      <c r="F42" s="50"/>
      <c r="G42" s="50"/>
      <c r="H42" s="51"/>
      <c r="I42" s="52"/>
      <c r="J42" s="52"/>
      <c r="K42" s="52"/>
      <c r="O42" s="53"/>
    </row>
    <row r="43" spans="3:18" ht="15.75" x14ac:dyDescent="0.25">
      <c r="C43" s="49"/>
      <c r="D43" s="50"/>
      <c r="E43" s="50"/>
      <c r="F43" s="50"/>
      <c r="G43" s="50"/>
      <c r="H43" s="51"/>
      <c r="I43" s="52"/>
      <c r="J43" s="52"/>
      <c r="K43" s="52"/>
      <c r="O43" s="40"/>
    </row>
    <row r="44" spans="3:18" ht="15.75" x14ac:dyDescent="0.25">
      <c r="C44" s="49"/>
      <c r="D44" s="50"/>
      <c r="E44" s="50"/>
      <c r="F44" s="50"/>
      <c r="G44" s="50"/>
      <c r="H44" s="51"/>
      <c r="I44" s="52"/>
      <c r="J44" s="52"/>
      <c r="K44" s="52"/>
      <c r="O44" s="40"/>
    </row>
    <row r="45" spans="3:18" ht="15.75" x14ac:dyDescent="0.25">
      <c r="C45" s="49"/>
      <c r="D45" s="50"/>
      <c r="E45" s="50"/>
      <c r="F45" s="50"/>
      <c r="G45" s="50"/>
      <c r="H45" s="51"/>
      <c r="I45" s="52"/>
      <c r="J45" s="52"/>
      <c r="K45" s="52"/>
      <c r="O45" s="40"/>
    </row>
    <row r="46" spans="3:18" x14ac:dyDescent="0.25">
      <c r="C46" s="49"/>
      <c r="D46" s="50"/>
      <c r="E46" s="50"/>
      <c r="F46" s="50"/>
      <c r="G46" s="50"/>
      <c r="H46" s="51"/>
      <c r="I46" s="52"/>
      <c r="J46" s="52"/>
      <c r="K46" s="52"/>
    </row>
    <row r="47" spans="3:18" x14ac:dyDescent="0.25">
      <c r="C47" s="49"/>
      <c r="D47" s="50"/>
      <c r="E47" s="50"/>
      <c r="F47" s="50"/>
      <c r="G47" s="50"/>
      <c r="H47" s="51"/>
      <c r="I47" s="52"/>
      <c r="J47" s="52"/>
      <c r="K47" s="52"/>
      <c r="L47"/>
      <c r="M47"/>
      <c r="N47"/>
      <c r="P47"/>
      <c r="Q47"/>
      <c r="R47"/>
    </row>
    <row r="48" spans="3:18" x14ac:dyDescent="0.25">
      <c r="C48" s="49"/>
      <c r="D48" s="50"/>
      <c r="E48" s="50"/>
      <c r="F48" s="50"/>
      <c r="G48" s="50"/>
      <c r="H48" s="51"/>
      <c r="I48" s="52"/>
      <c r="J48" s="52"/>
      <c r="K48" s="52"/>
      <c r="L48"/>
      <c r="M48"/>
      <c r="N48"/>
      <c r="P48"/>
      <c r="Q48"/>
      <c r="R48"/>
    </row>
    <row r="49" spans="3:18" x14ac:dyDescent="0.25">
      <c r="C49" s="49"/>
      <c r="D49" s="50"/>
      <c r="E49" s="50"/>
      <c r="F49" s="50"/>
      <c r="G49" s="50"/>
      <c r="H49" s="51"/>
      <c r="I49" s="52"/>
      <c r="J49" s="52"/>
      <c r="K49" s="52"/>
      <c r="L49"/>
      <c r="M49"/>
      <c r="N49"/>
      <c r="P49"/>
      <c r="Q49"/>
      <c r="R49"/>
    </row>
    <row r="50" spans="3:18" x14ac:dyDescent="0.25">
      <c r="C50" s="49"/>
      <c r="D50" s="50"/>
      <c r="E50" s="50"/>
      <c r="F50" s="50"/>
      <c r="G50" s="50"/>
      <c r="H50" s="51"/>
      <c r="I50" s="52"/>
      <c r="J50" s="52"/>
      <c r="K50" s="52"/>
      <c r="L50"/>
      <c r="M50"/>
      <c r="N50"/>
      <c r="P50"/>
      <c r="Q50"/>
      <c r="R50"/>
    </row>
    <row r="51" spans="3:18" x14ac:dyDescent="0.25">
      <c r="C51" s="49"/>
      <c r="D51" s="50"/>
      <c r="E51" s="50"/>
      <c r="F51" s="50"/>
      <c r="G51" s="50"/>
      <c r="H51" s="51"/>
      <c r="I51" s="52"/>
      <c r="J51" s="52"/>
      <c r="K51" s="52"/>
      <c r="L51"/>
      <c r="M51"/>
      <c r="N51"/>
      <c r="P51"/>
      <c r="Q51"/>
      <c r="R51"/>
    </row>
    <row r="52" spans="3:18" x14ac:dyDescent="0.25">
      <c r="C52" s="49"/>
      <c r="D52" s="50"/>
      <c r="E52" s="50"/>
      <c r="F52" s="50"/>
      <c r="G52" s="50"/>
      <c r="H52" s="51"/>
      <c r="I52" s="52"/>
      <c r="J52" s="52"/>
      <c r="K52" s="52"/>
      <c r="L52"/>
      <c r="M52"/>
      <c r="N52"/>
      <c r="P52"/>
      <c r="Q52"/>
      <c r="R52"/>
    </row>
    <row r="53" spans="3:18" x14ac:dyDescent="0.25">
      <c r="C53" s="49"/>
      <c r="D53" s="50"/>
      <c r="E53" s="50"/>
      <c r="F53" s="50"/>
      <c r="G53" s="50"/>
      <c r="H53" s="51"/>
      <c r="I53" s="52"/>
      <c r="J53" s="52"/>
      <c r="K53" s="52"/>
      <c r="L53"/>
      <c r="M53"/>
      <c r="N53"/>
      <c r="P53"/>
      <c r="Q53"/>
      <c r="R53"/>
    </row>
    <row r="54" spans="3:18" x14ac:dyDescent="0.25">
      <c r="C54" s="49"/>
      <c r="D54" s="50"/>
      <c r="E54" s="50"/>
      <c r="F54" s="50"/>
      <c r="G54" s="50"/>
      <c r="H54" s="51"/>
      <c r="I54" s="52"/>
      <c r="J54" s="52"/>
      <c r="K54" s="52"/>
      <c r="L54"/>
      <c r="M54"/>
      <c r="N54"/>
      <c r="P54"/>
      <c r="Q54"/>
      <c r="R54"/>
    </row>
    <row r="55" spans="3:18" x14ac:dyDescent="0.25">
      <c r="C55" s="49"/>
      <c r="D55" s="50"/>
      <c r="E55" s="50"/>
      <c r="F55" s="50"/>
      <c r="G55" s="50"/>
      <c r="H55" s="51"/>
      <c r="I55" s="52"/>
      <c r="J55" s="52"/>
      <c r="K55" s="52"/>
      <c r="L55"/>
      <c r="M55"/>
      <c r="N55"/>
      <c r="P55"/>
      <c r="Q55"/>
      <c r="R55"/>
    </row>
    <row r="56" spans="3:18" x14ac:dyDescent="0.25">
      <c r="C56" s="49"/>
      <c r="D56" s="50"/>
      <c r="E56" s="50"/>
      <c r="F56" s="50"/>
      <c r="G56" s="50"/>
      <c r="H56" s="51"/>
      <c r="I56" s="52"/>
      <c r="J56" s="52"/>
      <c r="K56" s="52"/>
      <c r="L56"/>
      <c r="M56"/>
      <c r="N56"/>
      <c r="P56"/>
      <c r="Q56"/>
      <c r="R56"/>
    </row>
    <row r="57" spans="3:18" x14ac:dyDescent="0.25">
      <c r="C57" s="49"/>
      <c r="D57" s="50"/>
      <c r="E57" s="50"/>
      <c r="F57" s="50"/>
      <c r="G57" s="50"/>
      <c r="H57" s="51"/>
      <c r="I57" s="52"/>
      <c r="J57" s="52"/>
      <c r="K57" s="52"/>
      <c r="L57"/>
      <c r="M57"/>
      <c r="N57"/>
      <c r="P57"/>
      <c r="Q57"/>
      <c r="R57"/>
    </row>
    <row r="58" spans="3:18" x14ac:dyDescent="0.25">
      <c r="C58" s="49"/>
      <c r="D58" s="50"/>
      <c r="E58" s="50"/>
      <c r="F58" s="50"/>
      <c r="G58" s="50"/>
      <c r="H58" s="51"/>
      <c r="I58" s="52"/>
      <c r="J58" s="52"/>
      <c r="K58" s="52"/>
      <c r="L58"/>
      <c r="M58"/>
      <c r="N58"/>
      <c r="P58"/>
      <c r="Q58"/>
      <c r="R58"/>
    </row>
    <row r="59" spans="3:18" x14ac:dyDescent="0.25">
      <c r="C59" s="49"/>
      <c r="D59" s="50"/>
      <c r="E59" s="50"/>
      <c r="F59" s="50"/>
      <c r="G59" s="50"/>
      <c r="H59" s="51"/>
      <c r="I59" s="52"/>
      <c r="J59" s="52"/>
      <c r="K59" s="52"/>
      <c r="L59"/>
      <c r="M59"/>
      <c r="N59"/>
      <c r="P59"/>
      <c r="Q59"/>
      <c r="R59"/>
    </row>
    <row r="60" spans="3:18" x14ac:dyDescent="0.25">
      <c r="C60" s="49"/>
      <c r="D60" s="50"/>
      <c r="E60" s="50"/>
      <c r="F60" s="50"/>
      <c r="G60" s="50"/>
      <c r="H60" s="51"/>
      <c r="I60" s="52"/>
      <c r="J60" s="52"/>
      <c r="K60" s="52"/>
      <c r="L60"/>
      <c r="M60"/>
      <c r="N60"/>
      <c r="P60"/>
      <c r="Q60"/>
      <c r="R60"/>
    </row>
    <row r="61" spans="3:18" x14ac:dyDescent="0.25">
      <c r="C61" s="49"/>
      <c r="D61" s="50"/>
      <c r="E61" s="50"/>
      <c r="F61" s="50"/>
      <c r="G61" s="50"/>
      <c r="H61" s="51"/>
      <c r="I61" s="52"/>
      <c r="J61" s="52"/>
      <c r="K61" s="52"/>
      <c r="L61"/>
      <c r="M61"/>
      <c r="N61"/>
      <c r="P61"/>
      <c r="Q61"/>
      <c r="R61"/>
    </row>
    <row r="62" spans="3:18" x14ac:dyDescent="0.25">
      <c r="C62" s="49"/>
      <c r="D62" s="50"/>
      <c r="E62" s="50"/>
      <c r="F62" s="50"/>
      <c r="G62" s="50"/>
      <c r="H62" s="51"/>
      <c r="I62" s="52"/>
      <c r="J62" s="52"/>
      <c r="K62" s="52"/>
      <c r="L62"/>
      <c r="M62"/>
      <c r="N62"/>
      <c r="P62"/>
      <c r="Q62"/>
      <c r="R62"/>
    </row>
    <row r="63" spans="3:18" x14ac:dyDescent="0.25">
      <c r="C63" s="49"/>
      <c r="D63" s="50"/>
      <c r="E63" s="50"/>
      <c r="F63" s="50"/>
      <c r="G63" s="50"/>
      <c r="H63" s="51"/>
      <c r="I63" s="52"/>
      <c r="J63" s="52"/>
      <c r="K63" s="52"/>
      <c r="L63"/>
      <c r="M63"/>
      <c r="N63"/>
      <c r="P63"/>
      <c r="Q63"/>
      <c r="R63"/>
    </row>
    <row r="64" spans="3:18" x14ac:dyDescent="0.25">
      <c r="C64" s="49"/>
      <c r="D64" s="50"/>
      <c r="E64" s="50"/>
      <c r="F64" s="50"/>
      <c r="G64" s="50"/>
      <c r="H64" s="51"/>
      <c r="I64" s="52"/>
      <c r="J64" s="52"/>
      <c r="K64" s="52"/>
      <c r="L64"/>
      <c r="M64"/>
      <c r="N64"/>
      <c r="P64"/>
      <c r="Q64"/>
      <c r="R64"/>
    </row>
    <row r="65" spans="3:18" x14ac:dyDescent="0.25">
      <c r="C65" s="49"/>
      <c r="D65" s="50"/>
      <c r="E65" s="50"/>
      <c r="F65" s="50"/>
      <c r="G65" s="50"/>
      <c r="H65" s="51"/>
      <c r="I65" s="52"/>
      <c r="J65" s="52"/>
      <c r="K65" s="52"/>
      <c r="L65"/>
      <c r="M65"/>
      <c r="N65"/>
      <c r="P65"/>
      <c r="Q65"/>
      <c r="R65"/>
    </row>
    <row r="66" spans="3:18" x14ac:dyDescent="0.25">
      <c r="C66" s="49"/>
      <c r="D66" s="50"/>
      <c r="E66" s="50"/>
      <c r="F66" s="50"/>
      <c r="G66" s="50"/>
      <c r="H66" s="51"/>
      <c r="I66" s="52"/>
      <c r="J66" s="52"/>
      <c r="K66" s="52"/>
      <c r="L66"/>
      <c r="M66"/>
      <c r="N66"/>
      <c r="P66"/>
      <c r="Q66"/>
      <c r="R66"/>
    </row>
    <row r="67" spans="3:18" x14ac:dyDescent="0.25">
      <c r="C67" s="49"/>
      <c r="D67" s="50"/>
      <c r="E67" s="50"/>
      <c r="F67" s="50"/>
      <c r="G67" s="50"/>
      <c r="H67" s="51"/>
      <c r="I67" s="52"/>
      <c r="J67" s="52"/>
      <c r="K67" s="52"/>
      <c r="L67"/>
      <c r="M67"/>
      <c r="N67"/>
      <c r="P67"/>
      <c r="Q67"/>
      <c r="R67"/>
    </row>
    <row r="68" spans="3:18" x14ac:dyDescent="0.25">
      <c r="C68" s="49"/>
      <c r="D68" s="50"/>
      <c r="E68" s="50"/>
      <c r="F68" s="50"/>
      <c r="G68" s="50"/>
      <c r="H68" s="51"/>
      <c r="I68" s="52"/>
      <c r="J68" s="52"/>
      <c r="K68" s="52"/>
      <c r="L68"/>
      <c r="M68"/>
      <c r="N68"/>
      <c r="P68"/>
      <c r="Q68"/>
      <c r="R68"/>
    </row>
    <row r="69" spans="3:18" x14ac:dyDescent="0.25">
      <c r="C69" s="49"/>
      <c r="D69" s="50"/>
      <c r="E69" s="50"/>
      <c r="F69" s="50"/>
      <c r="G69" s="50"/>
      <c r="H69" s="51"/>
      <c r="I69" s="52"/>
      <c r="J69" s="52"/>
      <c r="K69" s="52"/>
      <c r="L69"/>
      <c r="M69"/>
      <c r="N69"/>
      <c r="P69"/>
      <c r="Q69"/>
      <c r="R69"/>
    </row>
    <row r="70" spans="3:18" x14ac:dyDescent="0.25">
      <c r="C70" s="49"/>
      <c r="D70" s="50"/>
      <c r="E70" s="50"/>
      <c r="F70" s="50"/>
      <c r="G70" s="50"/>
      <c r="H70" s="51"/>
      <c r="I70" s="52"/>
      <c r="J70" s="52"/>
      <c r="K70" s="52"/>
      <c r="L70"/>
      <c r="M70"/>
      <c r="N70"/>
      <c r="P70"/>
      <c r="Q70"/>
      <c r="R70"/>
    </row>
    <row r="71" spans="3:18" x14ac:dyDescent="0.25">
      <c r="C71" s="49"/>
      <c r="D71" s="50"/>
      <c r="E71" s="50"/>
      <c r="F71" s="50"/>
      <c r="G71" s="50"/>
      <c r="H71" s="51"/>
      <c r="I71" s="52"/>
      <c r="J71" s="52"/>
      <c r="K71" s="52"/>
      <c r="L71"/>
      <c r="M71"/>
      <c r="N71"/>
      <c r="P71"/>
      <c r="Q71"/>
      <c r="R71"/>
    </row>
    <row r="72" spans="3:18" x14ac:dyDescent="0.25">
      <c r="C72" s="49"/>
      <c r="D72" s="50"/>
      <c r="E72" s="50"/>
      <c r="F72" s="50"/>
      <c r="G72" s="50"/>
      <c r="H72" s="51"/>
      <c r="I72" s="52"/>
      <c r="J72" s="52"/>
      <c r="K72" s="52"/>
      <c r="L72"/>
      <c r="M72"/>
      <c r="N72"/>
      <c r="P72"/>
      <c r="Q72"/>
      <c r="R72"/>
    </row>
    <row r="73" spans="3:18" x14ac:dyDescent="0.25">
      <c r="C73" s="49"/>
      <c r="D73" s="50"/>
      <c r="E73" s="50"/>
      <c r="F73" s="50"/>
      <c r="G73" s="50"/>
      <c r="H73" s="51"/>
      <c r="I73" s="52"/>
      <c r="J73" s="52"/>
      <c r="K73" s="52"/>
      <c r="L73"/>
      <c r="M73"/>
      <c r="N73"/>
      <c r="P73"/>
      <c r="Q73"/>
      <c r="R73"/>
    </row>
    <row r="74" spans="3:18" x14ac:dyDescent="0.25">
      <c r="C74" s="49"/>
      <c r="D74" s="50"/>
      <c r="E74" s="50"/>
      <c r="F74" s="50"/>
      <c r="G74" s="50"/>
      <c r="H74" s="51"/>
      <c r="I74" s="52"/>
      <c r="J74" s="52"/>
      <c r="K74" s="52"/>
      <c r="L74"/>
      <c r="M74"/>
      <c r="N74"/>
      <c r="P74"/>
      <c r="Q74"/>
      <c r="R74"/>
    </row>
    <row r="75" spans="3:18" x14ac:dyDescent="0.25">
      <c r="C75" s="49"/>
      <c r="D75" s="50"/>
      <c r="E75" s="50"/>
      <c r="F75" s="50"/>
      <c r="G75" s="50"/>
      <c r="H75" s="51"/>
      <c r="I75" s="52"/>
      <c r="J75" s="52"/>
      <c r="K75" s="52"/>
      <c r="L75"/>
      <c r="M75"/>
      <c r="N75"/>
      <c r="P75"/>
      <c r="Q75"/>
      <c r="R75"/>
    </row>
    <row r="76" spans="3:18" x14ac:dyDescent="0.25">
      <c r="C76" s="49"/>
      <c r="D76" s="50"/>
      <c r="E76" s="50"/>
      <c r="F76" s="50"/>
      <c r="G76" s="50"/>
      <c r="H76" s="51"/>
      <c r="I76" s="52"/>
      <c r="J76" s="52"/>
      <c r="K76" s="52"/>
      <c r="L76"/>
      <c r="M76"/>
      <c r="N76"/>
      <c r="P76"/>
      <c r="Q76"/>
      <c r="R76"/>
    </row>
    <row r="77" spans="3:18" x14ac:dyDescent="0.25">
      <c r="C77" s="49"/>
      <c r="D77" s="50"/>
      <c r="E77" s="50"/>
      <c r="F77" s="50"/>
      <c r="G77" s="50"/>
      <c r="H77" s="51"/>
      <c r="I77" s="52"/>
      <c r="J77" s="52"/>
      <c r="K77" s="52"/>
      <c r="L77"/>
      <c r="M77"/>
      <c r="N77"/>
      <c r="P77"/>
      <c r="Q77"/>
      <c r="R77"/>
    </row>
    <row r="78" spans="3:18" x14ac:dyDescent="0.25">
      <c r="C78" s="49"/>
      <c r="D78" s="50"/>
      <c r="E78" s="50"/>
      <c r="F78" s="50"/>
      <c r="G78" s="50"/>
      <c r="H78" s="51"/>
      <c r="I78" s="52"/>
      <c r="J78" s="52"/>
      <c r="K78" s="52"/>
      <c r="L78"/>
      <c r="M78"/>
      <c r="N78"/>
      <c r="P78"/>
      <c r="Q78"/>
      <c r="R78"/>
    </row>
    <row r="79" spans="3:18" x14ac:dyDescent="0.25">
      <c r="C79" s="49"/>
      <c r="D79" s="50"/>
      <c r="E79" s="50"/>
      <c r="F79" s="50"/>
      <c r="G79" s="50"/>
      <c r="H79" s="51"/>
      <c r="I79" s="52"/>
      <c r="J79" s="52"/>
      <c r="K79" s="52"/>
      <c r="L79"/>
      <c r="M79"/>
      <c r="N79"/>
      <c r="P79"/>
      <c r="Q79"/>
      <c r="R79"/>
    </row>
    <row r="80" spans="3:18" x14ac:dyDescent="0.25">
      <c r="C80" s="49"/>
      <c r="D80" s="50"/>
      <c r="E80" s="50"/>
      <c r="F80" s="50"/>
      <c r="G80" s="50"/>
      <c r="H80" s="51"/>
      <c r="I80" s="52"/>
      <c r="J80" s="52"/>
      <c r="K80" s="52"/>
      <c r="L80"/>
      <c r="M80"/>
      <c r="N80"/>
      <c r="P80"/>
      <c r="Q80"/>
      <c r="R80"/>
    </row>
    <row r="81" spans="3:18" x14ac:dyDescent="0.25">
      <c r="C81" s="49"/>
      <c r="D81" s="50"/>
      <c r="E81" s="50"/>
      <c r="F81" s="50"/>
      <c r="G81" s="50"/>
      <c r="H81" s="51"/>
      <c r="I81" s="52"/>
      <c r="J81" s="52"/>
      <c r="K81" s="52"/>
      <c r="L81"/>
      <c r="M81"/>
      <c r="N81"/>
      <c r="P81"/>
      <c r="Q81"/>
      <c r="R81"/>
    </row>
    <row r="82" spans="3:18" x14ac:dyDescent="0.25">
      <c r="C82" s="49"/>
      <c r="D82" s="50"/>
      <c r="E82" s="50"/>
      <c r="F82" s="50"/>
      <c r="G82" s="50"/>
      <c r="H82" s="51"/>
      <c r="I82" s="52"/>
      <c r="J82" s="52"/>
      <c r="K82" s="52"/>
      <c r="L82"/>
      <c r="M82"/>
      <c r="N82"/>
      <c r="P82"/>
      <c r="Q82"/>
      <c r="R82"/>
    </row>
    <row r="83" spans="3:18" x14ac:dyDescent="0.25">
      <c r="C83" s="49"/>
      <c r="D83" s="50"/>
      <c r="E83" s="50"/>
      <c r="F83" s="50"/>
      <c r="G83" s="50"/>
      <c r="H83" s="51"/>
      <c r="I83" s="52"/>
      <c r="J83" s="52"/>
      <c r="K83" s="52"/>
      <c r="L83"/>
      <c r="M83"/>
      <c r="N83"/>
      <c r="P83"/>
      <c r="Q83"/>
      <c r="R83"/>
    </row>
    <row r="84" spans="3:18" x14ac:dyDescent="0.25">
      <c r="C84" s="49"/>
      <c r="D84" s="50"/>
      <c r="E84" s="50"/>
      <c r="F84" s="50"/>
      <c r="G84" s="50"/>
      <c r="H84" s="51"/>
      <c r="I84" s="52"/>
      <c r="J84" s="52"/>
      <c r="K84" s="52"/>
      <c r="L84"/>
      <c r="M84"/>
      <c r="N84"/>
      <c r="P84"/>
      <c r="Q84"/>
      <c r="R84"/>
    </row>
    <row r="85" spans="3:18" x14ac:dyDescent="0.25">
      <c r="C85" s="49"/>
      <c r="D85" s="50"/>
      <c r="E85" s="50"/>
      <c r="F85" s="50"/>
      <c r="G85" s="50"/>
      <c r="H85" s="51"/>
      <c r="I85" s="52"/>
      <c r="J85" s="52"/>
      <c r="K85" s="52"/>
      <c r="L85"/>
      <c r="M85"/>
      <c r="N85"/>
      <c r="P85"/>
      <c r="Q85"/>
      <c r="R85"/>
    </row>
    <row r="86" spans="3:18" x14ac:dyDescent="0.25">
      <c r="C86" s="49"/>
      <c r="D86" s="50"/>
      <c r="E86" s="50"/>
      <c r="F86" s="50"/>
      <c r="G86" s="50"/>
      <c r="H86" s="51"/>
      <c r="I86" s="52"/>
      <c r="J86" s="52"/>
      <c r="K86" s="52"/>
      <c r="L86"/>
      <c r="M86"/>
      <c r="N86"/>
      <c r="P86"/>
      <c r="Q86"/>
      <c r="R86"/>
    </row>
    <row r="87" spans="3:18" x14ac:dyDescent="0.25">
      <c r="C87" s="49"/>
      <c r="D87" s="50"/>
      <c r="E87" s="50"/>
      <c r="F87" s="50"/>
      <c r="G87" s="50"/>
      <c r="H87" s="51"/>
      <c r="I87" s="52"/>
      <c r="J87" s="52"/>
      <c r="K87" s="52"/>
      <c r="L87"/>
      <c r="M87"/>
      <c r="N87"/>
      <c r="P87"/>
      <c r="Q87"/>
      <c r="R87"/>
    </row>
    <row r="88" spans="3:18" x14ac:dyDescent="0.25">
      <c r="C88" s="49"/>
      <c r="D88" s="50"/>
      <c r="E88" s="50"/>
      <c r="F88" s="50"/>
      <c r="G88" s="50"/>
      <c r="H88" s="51"/>
      <c r="I88" s="52"/>
      <c r="J88" s="52"/>
      <c r="K88" s="52"/>
      <c r="L88"/>
      <c r="M88"/>
      <c r="N88"/>
      <c r="P88"/>
      <c r="Q88"/>
      <c r="R88"/>
    </row>
    <row r="89" spans="3:18" x14ac:dyDescent="0.25">
      <c r="C89" s="49"/>
      <c r="D89" s="50"/>
      <c r="E89" s="50"/>
      <c r="F89" s="50"/>
      <c r="G89" s="50"/>
      <c r="H89" s="51"/>
      <c r="I89" s="52"/>
      <c r="J89" s="52"/>
      <c r="K89" s="52"/>
      <c r="L89"/>
      <c r="M89"/>
      <c r="N89"/>
      <c r="P89"/>
      <c r="Q89"/>
      <c r="R89"/>
    </row>
    <row r="90" spans="3:18" x14ac:dyDescent="0.25">
      <c r="C90" s="49"/>
      <c r="D90" s="50"/>
      <c r="E90" s="50"/>
      <c r="F90" s="50"/>
      <c r="G90" s="50"/>
      <c r="H90" s="51"/>
      <c r="I90" s="52"/>
      <c r="J90" s="52"/>
      <c r="K90" s="52"/>
      <c r="L90"/>
      <c r="M90"/>
      <c r="N90"/>
      <c r="P90"/>
      <c r="Q90"/>
      <c r="R90"/>
    </row>
    <row r="91" spans="3:18" x14ac:dyDescent="0.25">
      <c r="C91" s="49"/>
      <c r="D91" s="50"/>
      <c r="E91" s="50"/>
      <c r="F91" s="50"/>
      <c r="G91" s="50"/>
      <c r="H91" s="51"/>
      <c r="I91" s="52"/>
      <c r="J91" s="52"/>
      <c r="K91" s="52"/>
      <c r="L91"/>
      <c r="M91"/>
      <c r="N91"/>
      <c r="P91"/>
      <c r="Q91"/>
      <c r="R91"/>
    </row>
    <row r="92" spans="3:18" x14ac:dyDescent="0.25">
      <c r="C92" s="49"/>
      <c r="D92" s="50"/>
      <c r="E92" s="50"/>
      <c r="F92" s="50"/>
      <c r="G92" s="50"/>
      <c r="H92" s="51"/>
      <c r="I92" s="52"/>
      <c r="J92" s="52"/>
      <c r="K92" s="52"/>
      <c r="L92"/>
      <c r="M92"/>
      <c r="N92"/>
      <c r="P92"/>
      <c r="Q92"/>
      <c r="R92"/>
    </row>
    <row r="93" spans="3:18" x14ac:dyDescent="0.25">
      <c r="C93" s="49"/>
      <c r="D93" s="50"/>
      <c r="E93" s="50"/>
      <c r="F93" s="50"/>
      <c r="G93" s="50"/>
      <c r="H93" s="51"/>
      <c r="I93" s="52"/>
      <c r="J93" s="52"/>
      <c r="K93" s="52"/>
      <c r="L93"/>
      <c r="M93"/>
      <c r="N93"/>
      <c r="P93"/>
      <c r="Q93"/>
      <c r="R93"/>
    </row>
    <row r="94" spans="3:18" x14ac:dyDescent="0.25">
      <c r="C94" s="49"/>
      <c r="D94" s="50"/>
      <c r="E94" s="50"/>
      <c r="F94" s="50"/>
      <c r="G94" s="50"/>
      <c r="H94" s="51"/>
      <c r="I94" s="52"/>
      <c r="J94" s="52"/>
      <c r="K94" s="52"/>
      <c r="L94"/>
      <c r="M94"/>
      <c r="N94"/>
      <c r="P94"/>
      <c r="Q94"/>
      <c r="R94"/>
    </row>
    <row r="95" spans="3:18" x14ac:dyDescent="0.25">
      <c r="C95" s="49"/>
      <c r="D95" s="50"/>
      <c r="E95" s="50"/>
      <c r="F95" s="50"/>
      <c r="G95" s="50"/>
      <c r="H95" s="51"/>
      <c r="I95" s="52"/>
      <c r="J95" s="52"/>
      <c r="K95" s="52"/>
      <c r="L95"/>
      <c r="M95"/>
      <c r="N95"/>
      <c r="P95"/>
      <c r="Q95"/>
      <c r="R95"/>
    </row>
    <row r="96" spans="3:18" x14ac:dyDescent="0.25">
      <c r="C96" s="49"/>
      <c r="D96" s="50"/>
      <c r="E96" s="50"/>
      <c r="F96" s="50"/>
      <c r="G96" s="50"/>
      <c r="H96" s="51"/>
      <c r="I96" s="52"/>
      <c r="J96" s="52"/>
      <c r="K96" s="52"/>
      <c r="L96"/>
      <c r="M96"/>
      <c r="N96"/>
      <c r="P96"/>
      <c r="Q96"/>
      <c r="R96"/>
    </row>
    <row r="97" spans="3:18" x14ac:dyDescent="0.25">
      <c r="C97" s="49"/>
      <c r="D97" s="50"/>
      <c r="E97" s="50"/>
      <c r="F97" s="50"/>
      <c r="G97" s="50"/>
      <c r="H97" s="51"/>
      <c r="I97" s="52"/>
      <c r="J97" s="52"/>
      <c r="K97" s="52"/>
      <c r="L97"/>
      <c r="M97"/>
      <c r="N97"/>
      <c r="P97"/>
      <c r="Q97"/>
      <c r="R97"/>
    </row>
    <row r="98" spans="3:18" x14ac:dyDescent="0.25">
      <c r="C98" s="49"/>
      <c r="D98" s="50"/>
      <c r="E98" s="50"/>
      <c r="F98" s="50"/>
      <c r="G98" s="50"/>
      <c r="H98" s="51"/>
      <c r="I98" s="52"/>
      <c r="J98" s="52"/>
      <c r="K98" s="52"/>
      <c r="L98"/>
      <c r="M98"/>
      <c r="N98"/>
      <c r="P98"/>
      <c r="Q98"/>
      <c r="R98"/>
    </row>
    <row r="99" spans="3:18" x14ac:dyDescent="0.25">
      <c r="C99" s="49"/>
      <c r="D99" s="50"/>
      <c r="E99" s="50"/>
      <c r="F99" s="50"/>
      <c r="G99" s="50"/>
      <c r="H99" s="51"/>
      <c r="I99" s="52"/>
      <c r="J99" s="52"/>
      <c r="K99" s="52"/>
      <c r="L99"/>
      <c r="M99"/>
      <c r="N99"/>
      <c r="P99"/>
      <c r="Q99"/>
      <c r="R99"/>
    </row>
    <row r="100" spans="3:18" x14ac:dyDescent="0.25">
      <c r="C100" s="49"/>
      <c r="D100" s="50"/>
      <c r="E100" s="50"/>
      <c r="F100" s="50"/>
      <c r="G100" s="50"/>
      <c r="H100" s="51"/>
      <c r="I100" s="52"/>
      <c r="J100" s="52"/>
      <c r="K100" s="52"/>
      <c r="L100"/>
      <c r="M100"/>
      <c r="N100"/>
      <c r="P100"/>
      <c r="Q100"/>
      <c r="R100"/>
    </row>
    <row r="101" spans="3:18" x14ac:dyDescent="0.25">
      <c r="C101" s="49"/>
      <c r="D101" s="50"/>
      <c r="E101" s="50"/>
      <c r="F101" s="50"/>
      <c r="G101" s="50"/>
      <c r="H101" s="51"/>
      <c r="I101" s="52"/>
      <c r="J101" s="52"/>
      <c r="K101" s="52"/>
      <c r="L101"/>
      <c r="M101"/>
      <c r="N101"/>
      <c r="P101"/>
      <c r="Q101"/>
      <c r="R101"/>
    </row>
    <row r="102" spans="3:18" x14ac:dyDescent="0.25">
      <c r="C102" s="49"/>
      <c r="D102" s="50"/>
      <c r="E102" s="50"/>
      <c r="F102" s="50"/>
      <c r="G102" s="50"/>
      <c r="H102" s="51"/>
      <c r="I102" s="52"/>
      <c r="J102" s="52"/>
      <c r="K102" s="52"/>
      <c r="L102"/>
      <c r="M102"/>
      <c r="N102"/>
      <c r="P102"/>
      <c r="Q102"/>
      <c r="R102"/>
    </row>
    <row r="103" spans="3:18" x14ac:dyDescent="0.25">
      <c r="C103" s="49"/>
      <c r="D103" s="50"/>
      <c r="E103" s="50"/>
      <c r="F103" s="50"/>
      <c r="G103" s="50"/>
      <c r="H103" s="51"/>
      <c r="I103" s="52"/>
      <c r="J103" s="52"/>
      <c r="K103" s="52"/>
      <c r="L103"/>
      <c r="M103"/>
      <c r="N103"/>
      <c r="P103"/>
      <c r="Q103"/>
      <c r="R103"/>
    </row>
    <row r="104" spans="3:18" x14ac:dyDescent="0.25">
      <c r="C104" s="49"/>
      <c r="D104" s="50"/>
      <c r="E104" s="50"/>
      <c r="F104" s="50"/>
      <c r="G104" s="50"/>
      <c r="H104" s="51"/>
      <c r="I104" s="52"/>
      <c r="J104" s="52"/>
      <c r="K104" s="52"/>
      <c r="L104"/>
      <c r="M104"/>
      <c r="N104"/>
      <c r="P104"/>
      <c r="Q104"/>
      <c r="R104"/>
    </row>
    <row r="105" spans="3:18" x14ac:dyDescent="0.25">
      <c r="C105" s="49"/>
      <c r="D105" s="50"/>
      <c r="E105" s="50"/>
      <c r="F105" s="50"/>
      <c r="G105" s="50"/>
      <c r="H105" s="51"/>
      <c r="I105" s="52"/>
      <c r="J105" s="52"/>
      <c r="K105" s="52"/>
      <c r="L105"/>
      <c r="M105"/>
      <c r="N105"/>
      <c r="P105"/>
      <c r="Q105"/>
      <c r="R105"/>
    </row>
    <row r="106" spans="3:18" x14ac:dyDescent="0.25">
      <c r="C106" s="49"/>
      <c r="D106" s="50"/>
      <c r="E106" s="50"/>
      <c r="F106" s="50"/>
      <c r="G106" s="50"/>
      <c r="H106" s="51"/>
      <c r="I106" s="52"/>
      <c r="J106" s="52"/>
      <c r="K106" s="52"/>
      <c r="L106"/>
      <c r="M106"/>
      <c r="N106"/>
      <c r="P106"/>
      <c r="Q106"/>
      <c r="R106"/>
    </row>
    <row r="107" spans="3:18" x14ac:dyDescent="0.25">
      <c r="C107" s="49"/>
      <c r="D107" s="50"/>
      <c r="E107" s="50"/>
      <c r="F107" s="50"/>
      <c r="G107" s="50"/>
      <c r="H107" s="51"/>
      <c r="I107" s="52"/>
      <c r="J107" s="52"/>
      <c r="K107" s="52"/>
      <c r="L107"/>
      <c r="M107"/>
      <c r="N107"/>
      <c r="P107"/>
      <c r="Q107"/>
      <c r="R107"/>
    </row>
    <row r="108" spans="3:18" x14ac:dyDescent="0.25">
      <c r="C108" s="49"/>
      <c r="D108" s="50"/>
      <c r="E108" s="50"/>
      <c r="F108" s="50"/>
      <c r="G108" s="50"/>
      <c r="H108" s="51"/>
      <c r="I108" s="52"/>
      <c r="J108" s="52"/>
      <c r="K108" s="52"/>
      <c r="L108"/>
      <c r="M108"/>
      <c r="N108"/>
      <c r="P108"/>
      <c r="Q108"/>
      <c r="R108"/>
    </row>
    <row r="109" spans="3:18" x14ac:dyDescent="0.25">
      <c r="C109" s="49"/>
      <c r="D109" s="50"/>
      <c r="E109" s="50"/>
      <c r="F109" s="50"/>
      <c r="G109" s="50"/>
      <c r="H109" s="51"/>
      <c r="I109" s="52"/>
      <c r="J109" s="52"/>
      <c r="K109" s="52"/>
      <c r="L109"/>
      <c r="M109"/>
      <c r="N109"/>
      <c r="P109"/>
      <c r="Q109"/>
      <c r="R109"/>
    </row>
    <row r="110" spans="3:18" x14ac:dyDescent="0.25">
      <c r="C110" s="49"/>
      <c r="D110" s="50"/>
      <c r="E110" s="50"/>
      <c r="F110" s="50"/>
      <c r="G110" s="50"/>
      <c r="H110" s="51"/>
      <c r="I110" s="52"/>
      <c r="J110" s="52"/>
      <c r="K110" s="52"/>
      <c r="L110"/>
      <c r="M110"/>
      <c r="N110"/>
      <c r="P110"/>
      <c r="Q110"/>
      <c r="R110"/>
    </row>
  </sheetData>
  <sheetProtection password="EFEB" sheet="1" objects="1" scenarios="1"/>
  <mergeCells count="6">
    <mergeCell ref="I4:K4"/>
    <mergeCell ref="D29:J29"/>
    <mergeCell ref="D31:J31"/>
    <mergeCell ref="B2:R2"/>
    <mergeCell ref="L3:N3"/>
    <mergeCell ref="P3:R3"/>
  </mergeCells>
  <pageMargins left="0.511811024" right="0.511811024" top="0.78740157499999996" bottom="0.78740157499999996" header="0.31496062000000002" footer="0.3149606200000000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dimension ref="B2:AJ115"/>
  <sheetViews>
    <sheetView topLeftCell="A22" workbookViewId="0">
      <selection activeCell="E30" sqref="E30"/>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2" width="15.5703125" style="4" customWidth="1"/>
    <col min="13" max="14" width="14.42578125" style="4" customWidth="1"/>
    <col min="15" max="15" width="17"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3" width="15.5703125" customWidth="1"/>
    <col min="264" max="264" width="14.4257812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19" width="15.5703125" customWidth="1"/>
    <col min="520" max="520" width="14.4257812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5" width="15.5703125" customWidth="1"/>
    <col min="776" max="776" width="14.4257812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1" width="15.5703125" customWidth="1"/>
    <col min="1032" max="1032" width="14.4257812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7" width="15.5703125" customWidth="1"/>
    <col min="1288" max="1288" width="14.4257812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3" width="15.5703125" customWidth="1"/>
    <col min="1544" max="1544" width="14.4257812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799" width="15.5703125" customWidth="1"/>
    <col min="1800" max="1800" width="14.4257812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5" width="15.5703125" customWidth="1"/>
    <col min="2056" max="2056" width="14.4257812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1" width="15.5703125" customWidth="1"/>
    <col min="2312" max="2312" width="14.4257812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7" width="15.5703125" customWidth="1"/>
    <col min="2568" max="2568" width="14.4257812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3" width="15.5703125" customWidth="1"/>
    <col min="2824" max="2824" width="14.4257812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79" width="15.5703125" customWidth="1"/>
    <col min="3080" max="3080" width="14.4257812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5" width="15.5703125" customWidth="1"/>
    <col min="3336" max="3336" width="14.4257812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1" width="15.5703125" customWidth="1"/>
    <col min="3592" max="3592" width="14.4257812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7" width="15.5703125" customWidth="1"/>
    <col min="3848" max="3848" width="14.4257812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3" width="15.5703125" customWidth="1"/>
    <col min="4104" max="4104" width="14.4257812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59" width="15.5703125" customWidth="1"/>
    <col min="4360" max="4360" width="14.4257812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5" width="15.5703125" customWidth="1"/>
    <col min="4616" max="4616" width="14.4257812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1" width="15.5703125" customWidth="1"/>
    <col min="4872" max="4872" width="14.4257812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7" width="15.5703125" customWidth="1"/>
    <col min="5128" max="5128" width="14.4257812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3" width="15.5703125" customWidth="1"/>
    <col min="5384" max="5384" width="14.4257812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39" width="15.5703125" customWidth="1"/>
    <col min="5640" max="5640" width="14.4257812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5" width="15.5703125" customWidth="1"/>
    <col min="5896" max="5896" width="14.4257812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1" width="15.5703125" customWidth="1"/>
    <col min="6152" max="6152" width="14.4257812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7" width="15.5703125" customWidth="1"/>
    <col min="6408" max="6408" width="14.4257812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3" width="15.5703125" customWidth="1"/>
    <col min="6664" max="6664" width="14.4257812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19" width="15.5703125" customWidth="1"/>
    <col min="6920" max="6920" width="14.4257812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5" width="15.5703125" customWidth="1"/>
    <col min="7176" max="7176" width="14.4257812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1" width="15.5703125" customWidth="1"/>
    <col min="7432" max="7432" width="14.4257812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7" width="15.5703125" customWidth="1"/>
    <col min="7688" max="7688" width="14.4257812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3" width="15.5703125" customWidth="1"/>
    <col min="7944" max="7944" width="14.4257812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199" width="15.5703125" customWidth="1"/>
    <col min="8200" max="8200" width="14.4257812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5" width="15.5703125" customWidth="1"/>
    <col min="8456" max="8456" width="14.4257812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1" width="15.5703125" customWidth="1"/>
    <col min="8712" max="8712" width="14.4257812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7" width="15.5703125" customWidth="1"/>
    <col min="8968" max="8968" width="14.4257812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3" width="15.5703125" customWidth="1"/>
    <col min="9224" max="9224" width="14.4257812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79" width="15.5703125" customWidth="1"/>
    <col min="9480" max="9480" width="14.4257812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5" width="15.5703125" customWidth="1"/>
    <col min="9736" max="9736" width="14.4257812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1" width="15.5703125" customWidth="1"/>
    <col min="9992" max="9992" width="14.4257812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7" width="15.5703125" customWidth="1"/>
    <col min="10248" max="10248" width="14.4257812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3" width="15.5703125" customWidth="1"/>
    <col min="10504" max="10504" width="14.4257812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59" width="15.5703125" customWidth="1"/>
    <col min="10760" max="10760" width="14.4257812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5" width="15.5703125" customWidth="1"/>
    <col min="11016" max="11016" width="14.4257812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1" width="15.5703125" customWidth="1"/>
    <col min="11272" max="11272" width="14.4257812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7" width="15.5703125" customWidth="1"/>
    <col min="11528" max="11528" width="14.4257812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3" width="15.5703125" customWidth="1"/>
    <col min="11784" max="11784" width="14.4257812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39" width="15.5703125" customWidth="1"/>
    <col min="12040" max="12040" width="14.4257812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5" width="15.5703125" customWidth="1"/>
    <col min="12296" max="12296" width="14.4257812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1" width="15.5703125" customWidth="1"/>
    <col min="12552" max="12552" width="14.4257812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7" width="15.5703125" customWidth="1"/>
    <col min="12808" max="12808" width="14.4257812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3" width="15.5703125" customWidth="1"/>
    <col min="13064" max="13064" width="14.4257812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19" width="15.5703125" customWidth="1"/>
    <col min="13320" max="13320" width="14.4257812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5" width="15.5703125" customWidth="1"/>
    <col min="13576" max="13576" width="14.4257812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1" width="15.5703125" customWidth="1"/>
    <col min="13832" max="13832" width="14.4257812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7" width="15.5703125" customWidth="1"/>
    <col min="14088" max="14088" width="14.4257812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3" width="15.5703125" customWidth="1"/>
    <col min="14344" max="14344" width="14.4257812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599" width="15.5703125" customWidth="1"/>
    <col min="14600" max="14600" width="14.4257812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5" width="15.5703125" customWidth="1"/>
    <col min="14856" max="14856" width="14.4257812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1" width="15.5703125" customWidth="1"/>
    <col min="15112" max="15112" width="14.4257812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7" width="15.5703125" customWidth="1"/>
    <col min="15368" max="15368" width="14.4257812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3" width="15.5703125" customWidth="1"/>
    <col min="15624" max="15624" width="14.4257812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79" width="15.5703125" customWidth="1"/>
    <col min="15880" max="15880" width="14.4257812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5" width="15.5703125" customWidth="1"/>
    <col min="16136" max="16136" width="14.4257812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2" spans="2:36" ht="18.75" thickBot="1" x14ac:dyDescent="0.3">
      <c r="B2" s="287" t="s">
        <v>594</v>
      </c>
      <c r="C2" s="287"/>
      <c r="D2" s="287"/>
      <c r="E2" s="287"/>
      <c r="F2" s="287"/>
      <c r="G2" s="287"/>
      <c r="H2" s="287"/>
      <c r="I2" s="287"/>
      <c r="J2" s="287"/>
      <c r="K2" s="287"/>
      <c r="L2" s="287"/>
      <c r="M2" s="287"/>
      <c r="N2" s="287"/>
      <c r="O2" s="287"/>
      <c r="P2" s="287"/>
      <c r="Q2" s="287"/>
      <c r="R2" s="287"/>
    </row>
    <row r="3" spans="2:36" s="7" customFormat="1" ht="32.25" customHeight="1" thickBot="1" x14ac:dyDescent="0.3">
      <c r="B3" s="95"/>
      <c r="C3" s="95"/>
      <c r="D3" s="95"/>
      <c r="E3" s="95"/>
      <c r="F3" s="95"/>
      <c r="G3" s="95"/>
      <c r="H3" s="95"/>
      <c r="I3" s="95"/>
      <c r="J3" s="95"/>
      <c r="K3" s="95"/>
      <c r="L3" s="290" t="s">
        <v>310</v>
      </c>
      <c r="M3" s="291"/>
      <c r="N3" s="292"/>
      <c r="O3" s="94" t="s">
        <v>317</v>
      </c>
      <c r="P3" s="291" t="s">
        <v>318</v>
      </c>
      <c r="Q3" s="291"/>
      <c r="R3" s="292"/>
      <c r="S3" s="8"/>
      <c r="T3" s="8"/>
      <c r="U3" s="8"/>
      <c r="V3" s="8"/>
      <c r="W3" s="8"/>
      <c r="X3" s="8"/>
      <c r="Y3" s="8"/>
      <c r="Z3" s="8"/>
      <c r="AA3" s="8"/>
      <c r="AB3" s="8"/>
      <c r="AC3" s="8"/>
      <c r="AD3" s="8"/>
      <c r="AE3" s="8"/>
      <c r="AF3" s="8"/>
      <c r="AG3" s="8"/>
      <c r="AH3" s="8"/>
      <c r="AI3" s="8"/>
      <c r="AJ3" s="8"/>
    </row>
    <row r="4" spans="2:36" ht="26.25" thickBot="1" x14ac:dyDescent="0.3">
      <c r="B4" s="202" t="s">
        <v>0</v>
      </c>
      <c r="C4" s="201" t="s">
        <v>466</v>
      </c>
      <c r="D4" s="202" t="s">
        <v>1</v>
      </c>
      <c r="E4" s="202" t="s">
        <v>463</v>
      </c>
      <c r="F4" s="210" t="s">
        <v>465</v>
      </c>
      <c r="G4" s="202" t="s">
        <v>464</v>
      </c>
      <c r="H4" s="202" t="s">
        <v>2</v>
      </c>
      <c r="I4" s="297" t="s">
        <v>3</v>
      </c>
      <c r="J4" s="298"/>
      <c r="K4" s="299"/>
      <c r="L4" s="219" t="s">
        <v>311</v>
      </c>
      <c r="M4" s="219" t="s">
        <v>312</v>
      </c>
      <c r="N4" s="219" t="s">
        <v>313</v>
      </c>
      <c r="O4" s="220" t="s">
        <v>319</v>
      </c>
      <c r="P4" s="221" t="s">
        <v>4</v>
      </c>
      <c r="Q4" s="222" t="s">
        <v>5</v>
      </c>
      <c r="R4" s="131" t="s">
        <v>6</v>
      </c>
    </row>
    <row r="5" spans="2:36" s="17" customFormat="1" ht="12.75" x14ac:dyDescent="0.2">
      <c r="B5" s="118">
        <v>1</v>
      </c>
      <c r="C5" s="119" t="s">
        <v>90</v>
      </c>
      <c r="D5" s="122" t="s">
        <v>23</v>
      </c>
      <c r="E5" s="120" t="s">
        <v>478</v>
      </c>
      <c r="F5" s="227" t="s">
        <v>516</v>
      </c>
      <c r="G5" s="228" t="str">
        <f>UPPER(F5)</f>
        <v>REUNIÃO DO CONSELHO DIRETOR</v>
      </c>
      <c r="H5" s="122" t="s">
        <v>24</v>
      </c>
      <c r="I5" s="121">
        <v>43160</v>
      </c>
      <c r="J5" s="122">
        <v>19</v>
      </c>
      <c r="K5" s="123">
        <v>19</v>
      </c>
      <c r="L5" s="148">
        <v>0</v>
      </c>
      <c r="M5" s="148">
        <v>61.6</v>
      </c>
      <c r="N5" s="148">
        <v>0</v>
      </c>
      <c r="O5" s="130">
        <v>0</v>
      </c>
      <c r="P5" s="125">
        <f>1159.61+675.68</f>
        <v>1835.29</v>
      </c>
      <c r="Q5" s="126">
        <v>0</v>
      </c>
      <c r="R5" s="127">
        <f t="shared" ref="R5:R31" si="0">L5+M5+N5+O5+P5+Q5</f>
        <v>1896.8899999999999</v>
      </c>
      <c r="S5" s="16"/>
      <c r="T5" s="16"/>
      <c r="U5" s="16"/>
      <c r="V5" s="16"/>
    </row>
    <row r="6" spans="2:36" s="17" customFormat="1" ht="12.75" x14ac:dyDescent="0.2">
      <c r="B6" s="99">
        <v>2</v>
      </c>
      <c r="C6" s="57" t="s">
        <v>91</v>
      </c>
      <c r="D6" s="10" t="s">
        <v>17</v>
      </c>
      <c r="E6" s="9" t="s">
        <v>478</v>
      </c>
      <c r="F6" s="19" t="s">
        <v>516</v>
      </c>
      <c r="G6" s="9" t="str">
        <f>UPPER(F6)</f>
        <v>REUNIÃO DO CONSELHO DIRETOR</v>
      </c>
      <c r="H6" s="10" t="s">
        <v>24</v>
      </c>
      <c r="I6" s="18">
        <v>43160</v>
      </c>
      <c r="J6" s="10">
        <v>19</v>
      </c>
      <c r="K6" s="11">
        <v>19</v>
      </c>
      <c r="L6" s="58">
        <v>0</v>
      </c>
      <c r="M6" s="58">
        <v>0</v>
      </c>
      <c r="N6" s="58">
        <v>0</v>
      </c>
      <c r="O6" s="54">
        <v>0</v>
      </c>
      <c r="P6" s="14">
        <v>1289.6099999999999</v>
      </c>
      <c r="Q6" s="15">
        <v>0</v>
      </c>
      <c r="R6" s="98">
        <f t="shared" si="0"/>
        <v>1289.6099999999999</v>
      </c>
      <c r="S6" s="16"/>
      <c r="T6" s="16"/>
      <c r="U6" s="16"/>
      <c r="V6" s="16"/>
    </row>
    <row r="7" spans="2:36" s="17" customFormat="1" ht="12.75" x14ac:dyDescent="0.2">
      <c r="B7" s="99">
        <v>3</v>
      </c>
      <c r="C7" s="56" t="s">
        <v>92</v>
      </c>
      <c r="D7" s="10" t="s">
        <v>26</v>
      </c>
      <c r="E7" s="9" t="s">
        <v>478</v>
      </c>
      <c r="F7" s="19" t="s">
        <v>516</v>
      </c>
      <c r="G7" s="9" t="str">
        <f t="shared" ref="G7:G31" si="1">UPPER(F7)</f>
        <v>REUNIÃO DO CONSELHO DIRETOR</v>
      </c>
      <c r="H7" s="10" t="s">
        <v>24</v>
      </c>
      <c r="I7" s="18">
        <v>43160</v>
      </c>
      <c r="J7" s="10">
        <v>19</v>
      </c>
      <c r="K7" s="11">
        <v>19</v>
      </c>
      <c r="L7" s="58">
        <v>0</v>
      </c>
      <c r="M7" s="58">
        <v>0</v>
      </c>
      <c r="N7" s="58">
        <v>0</v>
      </c>
      <c r="O7" s="54">
        <v>0</v>
      </c>
      <c r="P7" s="14">
        <v>1289.6099999999999</v>
      </c>
      <c r="Q7" s="15">
        <v>0</v>
      </c>
      <c r="R7" s="98">
        <f t="shared" si="0"/>
        <v>1289.6099999999999</v>
      </c>
      <c r="S7" s="16"/>
      <c r="T7" s="16"/>
      <c r="U7" s="16"/>
      <c r="V7" s="16"/>
    </row>
    <row r="8" spans="2:36" s="17" customFormat="1" ht="12.75" x14ac:dyDescent="0.2">
      <c r="B8" s="99">
        <v>4</v>
      </c>
      <c r="C8" s="57" t="s">
        <v>93</v>
      </c>
      <c r="D8" s="189" t="s">
        <v>20</v>
      </c>
      <c r="E8" s="9" t="s">
        <v>478</v>
      </c>
      <c r="F8" s="19" t="s">
        <v>516</v>
      </c>
      <c r="G8" s="9" t="str">
        <f t="shared" si="1"/>
        <v>REUNIÃO DO CONSELHO DIRETOR</v>
      </c>
      <c r="H8" s="10" t="s">
        <v>24</v>
      </c>
      <c r="I8" s="18">
        <v>43160</v>
      </c>
      <c r="J8" s="10">
        <v>19</v>
      </c>
      <c r="K8" s="11">
        <v>19</v>
      </c>
      <c r="L8" s="58">
        <v>0</v>
      </c>
      <c r="M8" s="58">
        <v>0</v>
      </c>
      <c r="N8" s="58">
        <v>0</v>
      </c>
      <c r="O8" s="54">
        <v>0</v>
      </c>
      <c r="P8" s="14">
        <f>1419.61+555.87+1249.68+30</f>
        <v>3255.16</v>
      </c>
      <c r="Q8" s="15">
        <v>0</v>
      </c>
      <c r="R8" s="98">
        <f t="shared" si="0"/>
        <v>3255.16</v>
      </c>
      <c r="S8" s="16"/>
      <c r="T8" s="16"/>
      <c r="U8" s="16"/>
      <c r="V8" s="16"/>
    </row>
    <row r="9" spans="2:36" s="17" customFormat="1" ht="33.75" x14ac:dyDescent="0.2">
      <c r="B9" s="99">
        <v>5</v>
      </c>
      <c r="C9" s="57" t="s">
        <v>94</v>
      </c>
      <c r="D9" s="189" t="s">
        <v>95</v>
      </c>
      <c r="E9" s="216" t="s">
        <v>517</v>
      </c>
      <c r="F9" s="193" t="s">
        <v>518</v>
      </c>
      <c r="G9" s="9" t="str">
        <f t="shared" si="1"/>
        <v>APRESENTAÇÃO DE TRABALHO ORAL " DIRECT COSTS OF ISCHEMIC HEART DISEASE: REAL WORLD DATA FROM BRAZIL" NO CONGRESSO HTAI 2018.</v>
      </c>
      <c r="H9" s="10" t="s">
        <v>96</v>
      </c>
      <c r="I9" s="18" t="s">
        <v>97</v>
      </c>
      <c r="J9" s="10">
        <v>31</v>
      </c>
      <c r="K9" s="11">
        <v>7</v>
      </c>
      <c r="L9" s="58">
        <v>0</v>
      </c>
      <c r="M9" s="58">
        <v>0</v>
      </c>
      <c r="N9" s="58">
        <v>0</v>
      </c>
      <c r="O9" s="54">
        <v>0</v>
      </c>
      <c r="P9" s="14">
        <v>154.88</v>
      </c>
      <c r="Q9" s="15">
        <v>13293.7</v>
      </c>
      <c r="R9" s="98">
        <f t="shared" si="0"/>
        <v>13448.58</v>
      </c>
      <c r="S9" s="16"/>
      <c r="T9" s="16"/>
      <c r="U9" s="16"/>
      <c r="V9" s="16"/>
    </row>
    <row r="10" spans="2:36" s="17" customFormat="1" ht="27" customHeight="1" x14ac:dyDescent="0.2">
      <c r="B10" s="99">
        <v>6</v>
      </c>
      <c r="C10" s="57" t="s">
        <v>98</v>
      </c>
      <c r="D10" s="24" t="s">
        <v>99</v>
      </c>
      <c r="E10" s="216" t="s">
        <v>529</v>
      </c>
      <c r="F10" s="193" t="s">
        <v>519</v>
      </c>
      <c r="G10" s="9" t="str">
        <f t="shared" si="1"/>
        <v>AUDIÊNCIA PÚBLICA NO TRIBUNAL SUPERIOR DO TRABALHO.</v>
      </c>
      <c r="H10" s="10" t="s">
        <v>9</v>
      </c>
      <c r="I10" s="18">
        <v>43160</v>
      </c>
      <c r="J10" s="10">
        <v>1</v>
      </c>
      <c r="K10" s="11">
        <v>2</v>
      </c>
      <c r="L10" s="58">
        <v>0</v>
      </c>
      <c r="M10" s="58">
        <v>0</v>
      </c>
      <c r="N10" s="58">
        <v>0</v>
      </c>
      <c r="O10" s="54">
        <f>27+57</f>
        <v>84</v>
      </c>
      <c r="P10" s="14">
        <f>1249.68+2067.93</f>
        <v>3317.6099999999997</v>
      </c>
      <c r="Q10" s="15">
        <f>333.5+12.1</f>
        <v>345.6</v>
      </c>
      <c r="R10" s="98">
        <f t="shared" si="0"/>
        <v>3747.2099999999996</v>
      </c>
      <c r="S10" s="16"/>
      <c r="T10" s="16"/>
      <c r="U10" s="16"/>
      <c r="V10" s="16"/>
    </row>
    <row r="11" spans="2:36" s="17" customFormat="1" ht="24.75" customHeight="1" x14ac:dyDescent="0.2">
      <c r="B11" s="99">
        <v>7</v>
      </c>
      <c r="C11" s="57" t="s">
        <v>100</v>
      </c>
      <c r="D11" s="189" t="s">
        <v>101</v>
      </c>
      <c r="E11" s="216" t="s">
        <v>530</v>
      </c>
      <c r="F11" s="193" t="s">
        <v>519</v>
      </c>
      <c r="G11" s="9" t="str">
        <f t="shared" si="1"/>
        <v>AUDIÊNCIA PÚBLICA NO TRIBUNAL SUPERIOR DO TRABALHO.</v>
      </c>
      <c r="H11" s="10" t="s">
        <v>9</v>
      </c>
      <c r="I11" s="18">
        <v>43160</v>
      </c>
      <c r="J11" s="10">
        <v>1</v>
      </c>
      <c r="K11" s="11">
        <v>2</v>
      </c>
      <c r="L11" s="58">
        <v>0</v>
      </c>
      <c r="M11" s="58">
        <v>0</v>
      </c>
      <c r="N11" s="58">
        <v>0</v>
      </c>
      <c r="O11" s="54">
        <f>29.1+60+23+73</f>
        <v>185.1</v>
      </c>
      <c r="P11" s="14">
        <f>1249.68+2067.93</f>
        <v>3317.6099999999997</v>
      </c>
      <c r="Q11" s="15">
        <v>333.5</v>
      </c>
      <c r="R11" s="98">
        <f t="shared" si="0"/>
        <v>3836.2099999999996</v>
      </c>
      <c r="S11" s="16"/>
      <c r="T11" s="16"/>
      <c r="U11" s="16"/>
      <c r="V11" s="16"/>
    </row>
    <row r="12" spans="2:36" s="17" customFormat="1" ht="23.25" customHeight="1" x14ac:dyDescent="0.2">
      <c r="B12" s="99">
        <v>8</v>
      </c>
      <c r="C12" s="56" t="s">
        <v>102</v>
      </c>
      <c r="D12" s="189" t="s">
        <v>103</v>
      </c>
      <c r="E12" s="216" t="s">
        <v>531</v>
      </c>
      <c r="F12" s="193" t="s">
        <v>519</v>
      </c>
      <c r="G12" s="9" t="str">
        <f t="shared" si="1"/>
        <v>AUDIÊNCIA PÚBLICA NO TRIBUNAL SUPERIOR DO TRABALHO.</v>
      </c>
      <c r="H12" s="10" t="s">
        <v>9</v>
      </c>
      <c r="I12" s="18">
        <v>43160</v>
      </c>
      <c r="J12" s="10">
        <v>1</v>
      </c>
      <c r="K12" s="11">
        <v>2</v>
      </c>
      <c r="L12" s="58">
        <v>0</v>
      </c>
      <c r="M12" s="58">
        <v>86.24</v>
      </c>
      <c r="N12" s="58">
        <v>0</v>
      </c>
      <c r="O12" s="54">
        <f>36+60</f>
        <v>96</v>
      </c>
      <c r="P12" s="14">
        <f>1249.68+2067.93</f>
        <v>3317.6099999999997</v>
      </c>
      <c r="Q12" s="15">
        <f>333.5+18.15</f>
        <v>351.65</v>
      </c>
      <c r="R12" s="98">
        <f t="shared" si="0"/>
        <v>3851.4999999999995</v>
      </c>
      <c r="S12" s="16"/>
      <c r="T12" s="16"/>
      <c r="U12" s="16"/>
      <c r="V12" s="16"/>
    </row>
    <row r="13" spans="2:36" s="17" customFormat="1" ht="26.25" customHeight="1" x14ac:dyDescent="0.2">
      <c r="B13" s="99">
        <v>9</v>
      </c>
      <c r="C13" s="56" t="s">
        <v>104</v>
      </c>
      <c r="D13" s="189" t="s">
        <v>105</v>
      </c>
      <c r="E13" s="216" t="s">
        <v>532</v>
      </c>
      <c r="F13" s="193" t="s">
        <v>519</v>
      </c>
      <c r="G13" s="9" t="str">
        <f t="shared" si="1"/>
        <v>AUDIÊNCIA PÚBLICA NO TRIBUNAL SUPERIOR DO TRABALHO.</v>
      </c>
      <c r="H13" s="10" t="s">
        <v>9</v>
      </c>
      <c r="I13" s="18">
        <v>43160</v>
      </c>
      <c r="J13" s="10">
        <v>1</v>
      </c>
      <c r="K13" s="11">
        <v>2</v>
      </c>
      <c r="L13" s="58">
        <v>0</v>
      </c>
      <c r="M13" s="58">
        <v>0</v>
      </c>
      <c r="N13" s="58">
        <v>0</v>
      </c>
      <c r="O13" s="54">
        <f>29.62</f>
        <v>29.62</v>
      </c>
      <c r="P13" s="14">
        <v>2837.61</v>
      </c>
      <c r="Q13" s="15">
        <v>333.5</v>
      </c>
      <c r="R13" s="98">
        <f t="shared" si="0"/>
        <v>3200.73</v>
      </c>
      <c r="S13" s="16"/>
      <c r="T13" s="16"/>
      <c r="U13" s="16"/>
      <c r="V13" s="16"/>
    </row>
    <row r="14" spans="2:36" s="17" customFormat="1" ht="25.5" customHeight="1" x14ac:dyDescent="0.2">
      <c r="B14" s="99">
        <v>10</v>
      </c>
      <c r="C14" s="56" t="s">
        <v>106</v>
      </c>
      <c r="D14" s="189" t="s">
        <v>107</v>
      </c>
      <c r="E14" s="216" t="s">
        <v>533</v>
      </c>
      <c r="F14" s="193" t="s">
        <v>519</v>
      </c>
      <c r="G14" s="9" t="str">
        <f t="shared" si="1"/>
        <v>AUDIÊNCIA PÚBLICA NO TRIBUNAL SUPERIOR DO TRABALHO.</v>
      </c>
      <c r="H14" s="10" t="s">
        <v>9</v>
      </c>
      <c r="I14" s="18">
        <v>43160</v>
      </c>
      <c r="J14" s="10">
        <v>1</v>
      </c>
      <c r="K14" s="11">
        <v>2</v>
      </c>
      <c r="L14" s="58">
        <v>0</v>
      </c>
      <c r="M14" s="58">
        <v>0</v>
      </c>
      <c r="N14" s="58">
        <v>0</v>
      </c>
      <c r="O14" s="54">
        <f>35+61+44.39</f>
        <v>140.38999999999999</v>
      </c>
      <c r="P14" s="14">
        <f>1419.68+1248.03</f>
        <v>2667.71</v>
      </c>
      <c r="Q14" s="15">
        <f>333.5+24.2</f>
        <v>357.7</v>
      </c>
      <c r="R14" s="98">
        <f t="shared" si="0"/>
        <v>3165.7999999999997</v>
      </c>
      <c r="S14" s="16"/>
      <c r="T14" s="16"/>
      <c r="U14" s="16"/>
      <c r="V14" s="16"/>
    </row>
    <row r="15" spans="2:36" s="17" customFormat="1" ht="35.25" customHeight="1" x14ac:dyDescent="0.2">
      <c r="B15" s="99">
        <v>11</v>
      </c>
      <c r="C15" s="56" t="s">
        <v>108</v>
      </c>
      <c r="D15" s="189" t="s">
        <v>109</v>
      </c>
      <c r="E15" s="216" t="s">
        <v>534</v>
      </c>
      <c r="F15" s="188" t="s">
        <v>520</v>
      </c>
      <c r="G15" s="9" t="str">
        <f t="shared" si="1"/>
        <v>REUNIÃO - COMISSÃO PARA ESTUDO DA TRANSEXUALIDADE / CONSELHO FEDERAL DE MEDICINA EM BRASÍLIA.</v>
      </c>
      <c r="H15" s="10" t="s">
        <v>9</v>
      </c>
      <c r="I15" s="18">
        <v>43160</v>
      </c>
      <c r="J15" s="10">
        <v>7</v>
      </c>
      <c r="K15" s="11">
        <v>7</v>
      </c>
      <c r="L15" s="58">
        <v>0</v>
      </c>
      <c r="M15" s="58">
        <v>0</v>
      </c>
      <c r="N15" s="58">
        <v>0</v>
      </c>
      <c r="O15" s="54">
        <f>85+32+30+85</f>
        <v>232</v>
      </c>
      <c r="P15" s="14">
        <f>960.68+958.93</f>
        <v>1919.61</v>
      </c>
      <c r="Q15" s="15">
        <v>0</v>
      </c>
      <c r="R15" s="98">
        <f t="shared" si="0"/>
        <v>2151.6099999999997</v>
      </c>
      <c r="S15" s="16"/>
      <c r="T15" s="16"/>
      <c r="U15" s="16"/>
      <c r="V15" s="16"/>
    </row>
    <row r="16" spans="2:36" s="17" customFormat="1" ht="22.5" x14ac:dyDescent="0.2">
      <c r="B16" s="99">
        <v>12</v>
      </c>
      <c r="C16" s="56" t="s">
        <v>110</v>
      </c>
      <c r="D16" s="189" t="s">
        <v>70</v>
      </c>
      <c r="E16" s="216" t="s">
        <v>505</v>
      </c>
      <c r="F16" s="193" t="s">
        <v>521</v>
      </c>
      <c r="G16" s="9" t="str">
        <f t="shared" si="1"/>
        <v>REUNIÃO COM A CONTROLADORIA DO DF SOBRE O PROCESSO DE PUNIÇÃO DA EMPRESA CTIS.</v>
      </c>
      <c r="H16" s="10" t="s">
        <v>9</v>
      </c>
      <c r="I16" s="18">
        <v>43160</v>
      </c>
      <c r="J16" s="10">
        <v>1</v>
      </c>
      <c r="K16" s="11">
        <v>1</v>
      </c>
      <c r="L16" s="58">
        <v>0</v>
      </c>
      <c r="M16" s="58">
        <v>138.34</v>
      </c>
      <c r="N16" s="58">
        <v>0</v>
      </c>
      <c r="O16" s="54">
        <f>31+50+39+53+34</f>
        <v>207</v>
      </c>
      <c r="P16" s="14">
        <v>2337.81</v>
      </c>
      <c r="Q16" s="15">
        <v>0</v>
      </c>
      <c r="R16" s="98">
        <f t="shared" si="0"/>
        <v>2683.15</v>
      </c>
      <c r="S16" s="16"/>
      <c r="T16" s="16"/>
      <c r="U16" s="16"/>
      <c r="V16" s="16"/>
    </row>
    <row r="17" spans="2:22" s="17" customFormat="1" ht="12.75" x14ac:dyDescent="0.2">
      <c r="B17" s="99">
        <v>13</v>
      </c>
      <c r="C17" s="56" t="s">
        <v>111</v>
      </c>
      <c r="D17" s="189" t="s">
        <v>34</v>
      </c>
      <c r="E17" s="9" t="s">
        <v>483</v>
      </c>
      <c r="F17" s="211" t="s">
        <v>522</v>
      </c>
      <c r="G17" s="9" t="str">
        <f t="shared" si="1"/>
        <v>REUNIÃO DO CONSELHO FISCAL</v>
      </c>
      <c r="H17" s="9" t="s">
        <v>24</v>
      </c>
      <c r="I17" s="18">
        <v>43160</v>
      </c>
      <c r="J17" s="10">
        <v>19</v>
      </c>
      <c r="K17" s="11">
        <v>20</v>
      </c>
      <c r="L17" s="58">
        <v>0</v>
      </c>
      <c r="M17" s="58">
        <v>228.43</v>
      </c>
      <c r="N17" s="58">
        <v>0</v>
      </c>
      <c r="O17" s="54">
        <v>0</v>
      </c>
      <c r="P17" s="14">
        <v>1159.6099999999999</v>
      </c>
      <c r="Q17" s="15">
        <f>284.9+19.5</f>
        <v>304.39999999999998</v>
      </c>
      <c r="R17" s="98">
        <f t="shared" si="0"/>
        <v>1692.44</v>
      </c>
      <c r="S17" s="16"/>
      <c r="T17" s="16"/>
      <c r="U17" s="16"/>
      <c r="V17" s="16"/>
    </row>
    <row r="18" spans="2:22" s="17" customFormat="1" ht="12.75" x14ac:dyDescent="0.2">
      <c r="B18" s="99">
        <v>14</v>
      </c>
      <c r="C18" s="56" t="s">
        <v>112</v>
      </c>
      <c r="D18" s="189" t="s">
        <v>36</v>
      </c>
      <c r="E18" s="9" t="s">
        <v>483</v>
      </c>
      <c r="F18" s="211" t="s">
        <v>522</v>
      </c>
      <c r="G18" s="9" t="str">
        <f t="shared" si="1"/>
        <v>REUNIÃO DO CONSELHO FISCAL</v>
      </c>
      <c r="H18" s="9" t="s">
        <v>24</v>
      </c>
      <c r="I18" s="18">
        <v>43160</v>
      </c>
      <c r="J18" s="10">
        <v>19</v>
      </c>
      <c r="K18" s="11">
        <v>20</v>
      </c>
      <c r="L18" s="58">
        <v>0</v>
      </c>
      <c r="M18" s="58">
        <v>245.12</v>
      </c>
      <c r="N18" s="58">
        <v>0</v>
      </c>
      <c r="O18" s="54">
        <f>64.98+10.9+10.9+83.83</f>
        <v>170.61</v>
      </c>
      <c r="P18" s="14">
        <v>1159.6099999999999</v>
      </c>
      <c r="Q18" s="15">
        <f>284.9+19.5</f>
        <v>304.39999999999998</v>
      </c>
      <c r="R18" s="98">
        <f t="shared" si="0"/>
        <v>1879.7399999999998</v>
      </c>
      <c r="S18" s="16"/>
      <c r="T18" s="16"/>
      <c r="U18" s="16"/>
      <c r="V18" s="16"/>
    </row>
    <row r="19" spans="2:22" s="17" customFormat="1" ht="12.75" x14ac:dyDescent="0.2">
      <c r="B19" s="99">
        <v>15</v>
      </c>
      <c r="C19" s="56" t="s">
        <v>113</v>
      </c>
      <c r="D19" s="189" t="s">
        <v>114</v>
      </c>
      <c r="E19" s="9" t="s">
        <v>483</v>
      </c>
      <c r="F19" s="211" t="s">
        <v>522</v>
      </c>
      <c r="G19" s="9" t="str">
        <f t="shared" si="1"/>
        <v>REUNIÃO DO CONSELHO FISCAL</v>
      </c>
      <c r="H19" s="9" t="s">
        <v>24</v>
      </c>
      <c r="I19" s="18">
        <v>43160</v>
      </c>
      <c r="J19" s="10">
        <v>19</v>
      </c>
      <c r="K19" s="11">
        <v>20</v>
      </c>
      <c r="L19" s="58">
        <v>0</v>
      </c>
      <c r="M19" s="58">
        <v>235.52</v>
      </c>
      <c r="N19" s="58">
        <v>0</v>
      </c>
      <c r="O19" s="54">
        <v>0</v>
      </c>
      <c r="P19" s="14">
        <v>1159.6099999999999</v>
      </c>
      <c r="Q19" s="15">
        <f>284.9+13</f>
        <v>297.89999999999998</v>
      </c>
      <c r="R19" s="98">
        <f t="shared" si="0"/>
        <v>1693.0299999999997</v>
      </c>
      <c r="S19" s="16"/>
      <c r="T19" s="16"/>
      <c r="U19" s="16"/>
      <c r="V19" s="16"/>
    </row>
    <row r="20" spans="2:22" s="17" customFormat="1" ht="12.75" x14ac:dyDescent="0.2">
      <c r="B20" s="99">
        <v>16</v>
      </c>
      <c r="C20" s="56" t="s">
        <v>115</v>
      </c>
      <c r="D20" s="189" t="s">
        <v>116</v>
      </c>
      <c r="E20" s="9" t="s">
        <v>535</v>
      </c>
      <c r="F20" s="195" t="s">
        <v>523</v>
      </c>
      <c r="G20" s="9" t="str">
        <f t="shared" si="1"/>
        <v>REUNIÃO ASSEMBLÉIA GERAL EXTRAORDINÁRIA.</v>
      </c>
      <c r="H20" s="9" t="s">
        <v>117</v>
      </c>
      <c r="I20" s="18">
        <v>43160</v>
      </c>
      <c r="J20" s="10">
        <v>28</v>
      </c>
      <c r="K20" s="11">
        <v>29</v>
      </c>
      <c r="L20" s="58">
        <v>0</v>
      </c>
      <c r="M20" s="58">
        <v>0</v>
      </c>
      <c r="N20" s="58">
        <v>0</v>
      </c>
      <c r="O20" s="54">
        <v>0</v>
      </c>
      <c r="P20" s="14">
        <v>1476.61</v>
      </c>
      <c r="Q20" s="15">
        <f>284.9+49.3</f>
        <v>334.2</v>
      </c>
      <c r="R20" s="98">
        <f t="shared" si="0"/>
        <v>1810.81</v>
      </c>
      <c r="S20" s="16"/>
      <c r="T20" s="16"/>
      <c r="U20" s="16"/>
      <c r="V20" s="16"/>
    </row>
    <row r="21" spans="2:22" s="17" customFormat="1" ht="22.5" x14ac:dyDescent="0.2">
      <c r="B21" s="99">
        <v>17</v>
      </c>
      <c r="C21" s="56" t="s">
        <v>118</v>
      </c>
      <c r="D21" s="189" t="s">
        <v>119</v>
      </c>
      <c r="E21" s="216" t="s">
        <v>536</v>
      </c>
      <c r="F21" s="226" t="s">
        <v>524</v>
      </c>
      <c r="G21" s="9" t="str">
        <f t="shared" si="1"/>
        <v>PARTICIPAÇÃO COMO REPRESENTANTE CIENTÍFICO DO HCPA EM EVENTO NA FGV - QUALIHOSP 2018.</v>
      </c>
      <c r="H21" s="9" t="s">
        <v>53</v>
      </c>
      <c r="I21" s="18">
        <v>43160</v>
      </c>
      <c r="J21" s="10">
        <v>27</v>
      </c>
      <c r="K21" s="11">
        <v>28</v>
      </c>
      <c r="L21" s="58">
        <v>0</v>
      </c>
      <c r="M21" s="58">
        <v>0</v>
      </c>
      <c r="N21" s="58">
        <v>0</v>
      </c>
      <c r="O21" s="54">
        <v>0</v>
      </c>
      <c r="P21" s="14">
        <v>817.05</v>
      </c>
      <c r="Q21" s="15">
        <f>313.95+55.5</f>
        <v>369.45</v>
      </c>
      <c r="R21" s="98">
        <f t="shared" si="0"/>
        <v>1186.5</v>
      </c>
      <c r="S21" s="16"/>
      <c r="T21" s="16"/>
      <c r="U21" s="16"/>
      <c r="V21" s="16"/>
    </row>
    <row r="22" spans="2:22" s="17" customFormat="1" ht="45" x14ac:dyDescent="0.2">
      <c r="B22" s="99">
        <v>18</v>
      </c>
      <c r="C22" s="56" t="s">
        <v>120</v>
      </c>
      <c r="D22" s="189" t="s">
        <v>121</v>
      </c>
      <c r="E22" s="216" t="s">
        <v>537</v>
      </c>
      <c r="F22" s="193" t="s">
        <v>525</v>
      </c>
      <c r="G22" s="9" t="str">
        <f t="shared" si="1"/>
        <v>PROJETO AGHUSE - CONTRATO EXÉRCITO - TERMO DE COOPERAÇÃO - VISITA PARA CRIAÇÃO DOS AMBIENTES DE DESENVOLVIMENTO, HOMOLOGAÇÃO E TREINAMENTO DO AGHUSE.</v>
      </c>
      <c r="H22" s="10" t="s">
        <v>9</v>
      </c>
      <c r="I22" s="18">
        <v>43160</v>
      </c>
      <c r="J22" s="10">
        <v>19</v>
      </c>
      <c r="K22" s="11">
        <v>23</v>
      </c>
      <c r="L22" s="58">
        <v>92.41</v>
      </c>
      <c r="M22" s="58">
        <v>219.96</v>
      </c>
      <c r="N22" s="58">
        <v>0</v>
      </c>
      <c r="O22" s="54">
        <f>60+26.7+37.72+29.6+24.96+33.66+27.28+43.52+28.83+28.44</f>
        <v>340.71</v>
      </c>
      <c r="P22" s="14">
        <f>658.78+583.93</f>
        <v>1242.71</v>
      </c>
      <c r="Q22" s="15">
        <f>1848+136.18</f>
        <v>1984.18</v>
      </c>
      <c r="R22" s="98">
        <f t="shared" si="0"/>
        <v>3879.9700000000003</v>
      </c>
      <c r="S22" s="16"/>
      <c r="T22" s="16"/>
      <c r="U22" s="16"/>
      <c r="V22" s="16"/>
    </row>
    <row r="23" spans="2:22" s="17" customFormat="1" ht="12.75" x14ac:dyDescent="0.2">
      <c r="B23" s="99">
        <v>19</v>
      </c>
      <c r="C23" s="56" t="s">
        <v>122</v>
      </c>
      <c r="D23" s="189" t="s">
        <v>123</v>
      </c>
      <c r="E23" s="216" t="s">
        <v>538</v>
      </c>
      <c r="F23" s="195" t="s">
        <v>493</v>
      </c>
      <c r="G23" s="9" t="str">
        <f t="shared" si="1"/>
        <v>REUNIÃO NA SEST.</v>
      </c>
      <c r="H23" s="10" t="s">
        <v>9</v>
      </c>
      <c r="I23" s="18">
        <v>43160</v>
      </c>
      <c r="J23" s="10">
        <v>14</v>
      </c>
      <c r="K23" s="11">
        <v>14</v>
      </c>
      <c r="L23" s="58">
        <v>30</v>
      </c>
      <c r="M23" s="58">
        <f>95.48</f>
        <v>95.48</v>
      </c>
      <c r="N23" s="58">
        <v>0</v>
      </c>
      <c r="O23" s="54">
        <v>0</v>
      </c>
      <c r="P23" s="14">
        <v>1315.81</v>
      </c>
      <c r="Q23" s="15">
        <v>0</v>
      </c>
      <c r="R23" s="98">
        <f t="shared" si="0"/>
        <v>1441.29</v>
      </c>
      <c r="S23" s="16"/>
      <c r="T23" s="16"/>
      <c r="U23" s="16"/>
      <c r="V23" s="16"/>
    </row>
    <row r="24" spans="2:22" s="17" customFormat="1" ht="12.75" x14ac:dyDescent="0.2">
      <c r="B24" s="99">
        <v>20</v>
      </c>
      <c r="C24" s="56" t="s">
        <v>124</v>
      </c>
      <c r="D24" s="189" t="s">
        <v>15</v>
      </c>
      <c r="E24" s="216" t="s">
        <v>477</v>
      </c>
      <c r="F24" s="195" t="s">
        <v>493</v>
      </c>
      <c r="G24" s="9" t="str">
        <f t="shared" si="1"/>
        <v>REUNIÃO NA SEST.</v>
      </c>
      <c r="H24" s="10" t="s">
        <v>9</v>
      </c>
      <c r="I24" s="18"/>
      <c r="J24" s="10">
        <v>14</v>
      </c>
      <c r="K24" s="11">
        <v>14</v>
      </c>
      <c r="L24" s="58">
        <v>35</v>
      </c>
      <c r="M24" s="58">
        <v>97</v>
      </c>
      <c r="N24" s="58">
        <v>0</v>
      </c>
      <c r="O24" s="54">
        <v>24</v>
      </c>
      <c r="P24" s="14">
        <v>1315.81</v>
      </c>
      <c r="Q24" s="15">
        <v>0</v>
      </c>
      <c r="R24" s="98">
        <f t="shared" si="0"/>
        <v>1471.81</v>
      </c>
      <c r="S24" s="16"/>
      <c r="T24" s="16"/>
      <c r="U24" s="16"/>
      <c r="V24" s="16"/>
    </row>
    <row r="25" spans="2:22" s="17" customFormat="1" ht="12.75" x14ac:dyDescent="0.2">
      <c r="B25" s="99">
        <v>21</v>
      </c>
      <c r="C25" s="56" t="s">
        <v>125</v>
      </c>
      <c r="D25" s="189" t="s">
        <v>13</v>
      </c>
      <c r="E25" s="216" t="s">
        <v>513</v>
      </c>
      <c r="F25" s="195" t="s">
        <v>493</v>
      </c>
      <c r="G25" s="9" t="str">
        <f t="shared" si="1"/>
        <v>REUNIÃO NA SEST.</v>
      </c>
      <c r="H25" s="10" t="s">
        <v>9</v>
      </c>
      <c r="I25" s="18">
        <v>43160</v>
      </c>
      <c r="J25" s="10">
        <v>14</v>
      </c>
      <c r="K25" s="11">
        <v>14</v>
      </c>
      <c r="L25" s="58">
        <v>97</v>
      </c>
      <c r="M25" s="58">
        <v>96.8</v>
      </c>
      <c r="N25" s="58">
        <v>0</v>
      </c>
      <c r="O25" s="54">
        <v>0</v>
      </c>
      <c r="P25" s="14">
        <v>1315.81</v>
      </c>
      <c r="Q25" s="15">
        <v>0</v>
      </c>
      <c r="R25" s="98">
        <f t="shared" si="0"/>
        <v>1509.61</v>
      </c>
      <c r="S25" s="16"/>
      <c r="T25" s="16"/>
      <c r="U25" s="16"/>
      <c r="V25" s="16"/>
    </row>
    <row r="26" spans="2:22" s="17" customFormat="1" ht="12.75" x14ac:dyDescent="0.2">
      <c r="B26" s="99">
        <v>22</v>
      </c>
      <c r="C26" s="56" t="s">
        <v>126</v>
      </c>
      <c r="D26" s="189" t="s">
        <v>11</v>
      </c>
      <c r="E26" s="9" t="s">
        <v>501</v>
      </c>
      <c r="F26" s="195" t="s">
        <v>493</v>
      </c>
      <c r="G26" s="9" t="str">
        <f t="shared" si="1"/>
        <v>REUNIÃO NA SEST.</v>
      </c>
      <c r="H26" s="10" t="s">
        <v>9</v>
      </c>
      <c r="I26" s="18">
        <v>43160</v>
      </c>
      <c r="J26" s="10">
        <v>14</v>
      </c>
      <c r="K26" s="11">
        <v>14</v>
      </c>
      <c r="L26" s="58">
        <v>0</v>
      </c>
      <c r="M26" s="58">
        <v>88.99</v>
      </c>
      <c r="N26" s="58">
        <v>0</v>
      </c>
      <c r="O26" s="54">
        <v>0</v>
      </c>
      <c r="P26" s="14">
        <f>1877.81</f>
        <v>1877.81</v>
      </c>
      <c r="Q26" s="15">
        <v>500</v>
      </c>
      <c r="R26" s="98">
        <f t="shared" si="0"/>
        <v>2466.8000000000002</v>
      </c>
      <c r="S26" s="16"/>
      <c r="T26" s="16"/>
      <c r="U26" s="16"/>
      <c r="V26" s="16"/>
    </row>
    <row r="27" spans="2:22" s="17" customFormat="1" ht="45" x14ac:dyDescent="0.2">
      <c r="B27" s="99">
        <v>23</v>
      </c>
      <c r="C27" s="56" t="s">
        <v>129</v>
      </c>
      <c r="D27" s="189" t="s">
        <v>130</v>
      </c>
      <c r="E27" s="9" t="s">
        <v>539</v>
      </c>
      <c r="F27" s="195" t="s">
        <v>526</v>
      </c>
      <c r="G27" s="9" t="str">
        <f t="shared" si="1"/>
        <v>PARTICIPAR DE CURSO DE GESTÃO E APURAÇÃO DE ÉTICA PÚBLICA PROMOVIDO PELA SECRETARIA EXECUTIVA DA COMISSÃO DE ÉTICA PÚBLICA DA PRESIDÊNCIA DA REPÚBLICA.</v>
      </c>
      <c r="H27" s="9" t="s">
        <v>9</v>
      </c>
      <c r="I27" s="18">
        <v>43191</v>
      </c>
      <c r="J27" s="10">
        <v>22</v>
      </c>
      <c r="K27" s="11">
        <v>25</v>
      </c>
      <c r="L27" s="58">
        <v>0</v>
      </c>
      <c r="M27" s="58">
        <v>187.4</v>
      </c>
      <c r="N27" s="58">
        <v>0</v>
      </c>
      <c r="O27" s="54">
        <f>14.52+16.84+18+18+15+25+38</f>
        <v>145.36000000000001</v>
      </c>
      <c r="P27" s="14">
        <v>653.80999999999995</v>
      </c>
      <c r="Q27" s="15">
        <f>859.05+108.9</f>
        <v>967.94999999999993</v>
      </c>
      <c r="R27" s="98">
        <f t="shared" si="0"/>
        <v>1954.52</v>
      </c>
      <c r="S27" s="16"/>
      <c r="T27" s="16"/>
      <c r="U27" s="16"/>
      <c r="V27" s="16"/>
    </row>
    <row r="28" spans="2:22" s="17" customFormat="1" ht="12.75" x14ac:dyDescent="0.2">
      <c r="B28" s="99">
        <v>24</v>
      </c>
      <c r="C28" s="56" t="s">
        <v>131</v>
      </c>
      <c r="D28" s="189" t="s">
        <v>132</v>
      </c>
      <c r="E28" s="9" t="s">
        <v>540</v>
      </c>
      <c r="F28" s="195" t="s">
        <v>527</v>
      </c>
      <c r="G28" s="9" t="str">
        <f t="shared" si="1"/>
        <v>REUNIÃO ASSEMBLÉIA GERAL.</v>
      </c>
      <c r="H28" s="9" t="s">
        <v>24</v>
      </c>
      <c r="I28" s="18">
        <v>43191</v>
      </c>
      <c r="J28" s="10">
        <v>19</v>
      </c>
      <c r="K28" s="11">
        <v>20</v>
      </c>
      <c r="L28" s="58">
        <v>0</v>
      </c>
      <c r="M28" s="58">
        <v>0</v>
      </c>
      <c r="N28" s="58">
        <v>0</v>
      </c>
      <c r="O28" s="54">
        <v>0</v>
      </c>
      <c r="P28" s="14">
        <v>778.61</v>
      </c>
      <c r="Q28" s="15">
        <f>427.35+182.49</f>
        <v>609.84</v>
      </c>
      <c r="R28" s="98">
        <f t="shared" si="0"/>
        <v>1388.45</v>
      </c>
      <c r="S28" s="16"/>
      <c r="T28" s="16"/>
      <c r="U28" s="16"/>
      <c r="V28" s="16"/>
    </row>
    <row r="29" spans="2:22" s="17" customFormat="1" ht="33.75" x14ac:dyDescent="0.2">
      <c r="B29" s="99">
        <v>25</v>
      </c>
      <c r="C29" s="56" t="s">
        <v>133</v>
      </c>
      <c r="D29" s="189" t="s">
        <v>11</v>
      </c>
      <c r="E29" s="9" t="s">
        <v>501</v>
      </c>
      <c r="F29" s="195" t="s">
        <v>528</v>
      </c>
      <c r="G29" s="9" t="str">
        <f t="shared" si="1"/>
        <v>REUNIÃO COM O PRESIDENTEE DA EBSERH, ASSUNTO - BNDES - EQUIPAMENTOS DE INFORMÁTICA</v>
      </c>
      <c r="H29" s="9" t="s">
        <v>9</v>
      </c>
      <c r="I29" s="18">
        <v>43160</v>
      </c>
      <c r="J29" s="10">
        <v>27</v>
      </c>
      <c r="K29" s="11">
        <v>27</v>
      </c>
      <c r="L29" s="58">
        <v>0</v>
      </c>
      <c r="M29" s="58">
        <v>95.48</v>
      </c>
      <c r="N29" s="58">
        <v>0</v>
      </c>
      <c r="O29" s="54">
        <v>0</v>
      </c>
      <c r="P29" s="14">
        <f>2757.61+49</f>
        <v>2806.61</v>
      </c>
      <c r="Q29" s="15">
        <v>500</v>
      </c>
      <c r="R29" s="98">
        <f t="shared" si="0"/>
        <v>3402.09</v>
      </c>
      <c r="S29" s="16"/>
      <c r="T29" s="16"/>
      <c r="U29" s="16"/>
      <c r="V29" s="16"/>
    </row>
    <row r="30" spans="2:22" s="17" customFormat="1" ht="33.75" x14ac:dyDescent="0.2">
      <c r="B30" s="99">
        <v>26</v>
      </c>
      <c r="C30" s="56" t="s">
        <v>134</v>
      </c>
      <c r="D30" s="189" t="s">
        <v>62</v>
      </c>
      <c r="E30" s="216" t="s">
        <v>503</v>
      </c>
      <c r="F30" s="195" t="s">
        <v>528</v>
      </c>
      <c r="G30" s="9" t="str">
        <f t="shared" si="1"/>
        <v>REUNIÃO COM O PRESIDENTEE DA EBSERH, ASSUNTO - BNDES - EQUIPAMENTOS DE INFORMÁTICA</v>
      </c>
      <c r="H30" s="9" t="s">
        <v>9</v>
      </c>
      <c r="I30" s="18">
        <v>43161</v>
      </c>
      <c r="J30" s="10">
        <v>27</v>
      </c>
      <c r="K30" s="11">
        <v>27</v>
      </c>
      <c r="L30" s="58">
        <v>0</v>
      </c>
      <c r="M30" s="58">
        <v>97</v>
      </c>
      <c r="N30" s="58">
        <v>0</v>
      </c>
      <c r="O30" s="54">
        <f>74.05+74.05</f>
        <v>148.1</v>
      </c>
      <c r="P30" s="14">
        <f>2757.61</f>
        <v>2757.61</v>
      </c>
      <c r="Q30" s="15">
        <v>0</v>
      </c>
      <c r="R30" s="98">
        <f t="shared" si="0"/>
        <v>3002.71</v>
      </c>
      <c r="S30" s="16"/>
      <c r="T30" s="16"/>
      <c r="U30" s="16"/>
      <c r="V30" s="16"/>
    </row>
    <row r="31" spans="2:22" s="17" customFormat="1" ht="90.75" thickBot="1" x14ac:dyDescent="0.25">
      <c r="B31" s="100">
        <v>27</v>
      </c>
      <c r="C31" s="101" t="s">
        <v>135</v>
      </c>
      <c r="D31" s="191" t="s">
        <v>136</v>
      </c>
      <c r="E31" s="102" t="s">
        <v>541</v>
      </c>
      <c r="F31" s="196" t="s">
        <v>542</v>
      </c>
      <c r="G31" s="102" t="str">
        <f t="shared" si="1"/>
        <v>REFERENTE À PREMIAÇÃO PARA A MELHOR APRESENTAÇÃO ORAL NA 37ª SEMANA CIENTÍFICA DO HOSPITAL DE CLÍNICAS DE PORTO ALEGRE, NO VALOR MÁXIMO DE USD 1.500,00, PARA PARTICIPAR DO EVENTO ASM MICROBE 2018, QUE OCORRERÁ EM ATLANTA, NOS ESTADO UNIDOS, NO PERÍODO DE 06 A 11 DE JUNHO DE 2018. VERBA FIPE</v>
      </c>
      <c r="H31" s="102" t="s">
        <v>137</v>
      </c>
      <c r="I31" s="103">
        <v>43252</v>
      </c>
      <c r="J31" s="104">
        <v>6</v>
      </c>
      <c r="K31" s="105">
        <v>11</v>
      </c>
      <c r="L31" s="149">
        <v>0</v>
      </c>
      <c r="M31" s="149">
        <v>0</v>
      </c>
      <c r="N31" s="149">
        <v>0</v>
      </c>
      <c r="O31" s="106">
        <v>0</v>
      </c>
      <c r="P31" s="107">
        <f>3273.14+786.13+123.12</f>
        <v>4182.3900000000003</v>
      </c>
      <c r="Q31" s="108">
        <v>0</v>
      </c>
      <c r="R31" s="109">
        <f t="shared" si="0"/>
        <v>4182.3900000000003</v>
      </c>
      <c r="S31" s="16"/>
      <c r="T31" s="16"/>
      <c r="U31" s="16"/>
      <c r="V31" s="16"/>
    </row>
    <row r="32" spans="2:22" s="16" customFormat="1" ht="12" x14ac:dyDescent="0.2">
      <c r="B32" s="20"/>
      <c r="C32" s="21"/>
      <c r="D32" s="22"/>
      <c r="E32" s="22"/>
      <c r="F32" s="22"/>
      <c r="G32" s="22"/>
      <c r="H32" s="22"/>
      <c r="I32" s="23"/>
      <c r="J32" s="24"/>
      <c r="K32" s="25"/>
      <c r="L32" s="26"/>
      <c r="M32" s="26"/>
      <c r="N32" s="26"/>
      <c r="O32" s="27"/>
      <c r="P32" s="28"/>
      <c r="Q32" s="29"/>
      <c r="R32" s="30"/>
    </row>
    <row r="33" spans="3:18" s="31" customFormat="1" ht="15.75" x14ac:dyDescent="0.25">
      <c r="C33" s="32"/>
      <c r="D33" s="32"/>
      <c r="E33" s="32"/>
      <c r="F33" s="32"/>
      <c r="G33" s="32"/>
      <c r="H33" s="34"/>
      <c r="I33" s="32"/>
      <c r="J33" s="20"/>
      <c r="K33" s="33"/>
      <c r="L33" s="35">
        <f t="shared" ref="L33:Q33" si="2">SUM(L5:L31)</f>
        <v>254.41</v>
      </c>
      <c r="M33" s="35">
        <f t="shared" si="2"/>
        <v>1973.3600000000001</v>
      </c>
      <c r="N33" s="35">
        <f t="shared" si="2"/>
        <v>0</v>
      </c>
      <c r="O33" s="132">
        <f t="shared" si="2"/>
        <v>1802.8899999999999</v>
      </c>
      <c r="P33" s="38">
        <f t="shared" si="2"/>
        <v>51559.59</v>
      </c>
      <c r="Q33" s="39">
        <f t="shared" si="2"/>
        <v>21187.97</v>
      </c>
      <c r="R33" s="37">
        <f>SUM(R5:R31)+O34</f>
        <v>76796.248900000006</v>
      </c>
    </row>
    <row r="34" spans="3:18" s="40" customFormat="1" ht="16.5" thickBot="1" x14ac:dyDescent="0.3">
      <c r="C34" s="41"/>
      <c r="D34" s="288"/>
      <c r="E34" s="288"/>
      <c r="F34" s="288"/>
      <c r="G34" s="288"/>
      <c r="H34" s="288"/>
      <c r="I34" s="288"/>
      <c r="J34" s="288"/>
      <c r="K34" s="42"/>
      <c r="L34" s="43"/>
      <c r="M34" s="43"/>
      <c r="N34" s="91" t="s">
        <v>315</v>
      </c>
      <c r="O34" s="27">
        <f>O33*1%</f>
        <v>18.0289</v>
      </c>
      <c r="R34" s="44"/>
    </row>
    <row r="35" spans="3:18" s="40" customFormat="1" ht="16.5" thickBot="1" x14ac:dyDescent="0.3">
      <c r="C35" s="41"/>
      <c r="D35" s="41"/>
      <c r="E35" s="41"/>
      <c r="F35" s="41"/>
      <c r="G35" s="41"/>
      <c r="H35" s="45"/>
      <c r="I35" s="41"/>
      <c r="J35" s="41"/>
      <c r="K35" s="42"/>
      <c r="L35" s="43"/>
      <c r="M35" s="43"/>
      <c r="N35" s="43"/>
      <c r="O35" s="93">
        <f>O33+O34</f>
        <v>1820.9188999999999</v>
      </c>
      <c r="P35" s="46"/>
      <c r="Q35" s="44"/>
      <c r="R35" s="47" t="s">
        <v>50</v>
      </c>
    </row>
    <row r="36" spans="3:18" s="40" customFormat="1" x14ac:dyDescent="0.2">
      <c r="C36" s="41"/>
      <c r="D36" s="289"/>
      <c r="E36" s="289"/>
      <c r="F36" s="289"/>
      <c r="G36" s="289"/>
      <c r="H36" s="289"/>
      <c r="I36" s="289"/>
      <c r="J36" s="289"/>
      <c r="K36" s="42"/>
      <c r="L36" s="43"/>
      <c r="M36" s="43"/>
      <c r="N36" s="43"/>
      <c r="O36" s="27"/>
      <c r="P36" s="5" t="s">
        <v>49</v>
      </c>
      <c r="Q36" s="167">
        <f>L33+M33+O35+P33+Q33</f>
        <v>76796.248900000006</v>
      </c>
      <c r="R36" s="48">
        <f>R33-Q36</f>
        <v>0</v>
      </c>
    </row>
    <row r="37" spans="3:18" ht="15.75" x14ac:dyDescent="0.25">
      <c r="C37" s="49"/>
      <c r="D37" s="50"/>
      <c r="E37" s="50"/>
      <c r="F37" s="50"/>
      <c r="G37" s="50"/>
      <c r="H37" s="51"/>
      <c r="I37" s="52"/>
      <c r="J37" s="52"/>
      <c r="K37" s="52"/>
      <c r="N37" s="91" t="s">
        <v>315</v>
      </c>
      <c r="O37" s="27" t="s">
        <v>316</v>
      </c>
    </row>
    <row r="38" spans="3:18" x14ac:dyDescent="0.25">
      <c r="C38" s="49"/>
      <c r="D38" s="50"/>
      <c r="E38" s="50"/>
      <c r="F38" s="50"/>
      <c r="G38" s="50"/>
      <c r="H38" s="51"/>
      <c r="I38" s="52"/>
      <c r="J38" s="52"/>
      <c r="K38" s="52"/>
      <c r="O38" s="27"/>
    </row>
    <row r="39" spans="3:18" x14ac:dyDescent="0.25">
      <c r="C39" s="49"/>
      <c r="D39" s="50"/>
      <c r="E39" s="50"/>
      <c r="F39" s="50"/>
      <c r="G39" s="50"/>
      <c r="H39" s="51"/>
      <c r="I39" s="52"/>
      <c r="J39" s="52"/>
      <c r="K39" s="52"/>
      <c r="O39" s="27"/>
    </row>
    <row r="40" spans="3:18" x14ac:dyDescent="0.25">
      <c r="C40" s="49"/>
      <c r="D40" s="50"/>
      <c r="E40" s="50"/>
      <c r="F40" s="50"/>
      <c r="G40" s="50"/>
      <c r="H40" s="51"/>
      <c r="I40" s="52"/>
      <c r="J40" s="52"/>
      <c r="K40" s="52"/>
      <c r="O40" s="27"/>
    </row>
    <row r="41" spans="3:18" x14ac:dyDescent="0.25">
      <c r="C41" s="49"/>
      <c r="D41" s="50"/>
      <c r="E41" s="50"/>
      <c r="F41" s="50"/>
      <c r="G41" s="50"/>
      <c r="H41" s="51"/>
      <c r="I41" s="52"/>
      <c r="J41" s="52"/>
      <c r="K41" s="52"/>
      <c r="O41" s="27"/>
    </row>
    <row r="42" spans="3:18" x14ac:dyDescent="0.25">
      <c r="C42" s="49"/>
      <c r="D42" s="50"/>
      <c r="E42" s="50"/>
      <c r="F42" s="50"/>
      <c r="G42" s="50"/>
      <c r="H42" s="51"/>
      <c r="I42" s="52"/>
      <c r="J42" s="52"/>
      <c r="K42" s="52"/>
      <c r="O42" s="27"/>
    </row>
    <row r="43" spans="3:18" x14ac:dyDescent="0.25">
      <c r="C43" s="49"/>
      <c r="D43" s="50"/>
      <c r="E43" s="50"/>
      <c r="F43" s="50"/>
      <c r="G43" s="50"/>
      <c r="H43" s="51"/>
      <c r="I43" s="52"/>
      <c r="J43" s="52"/>
      <c r="K43" s="52"/>
      <c r="O43" s="27"/>
      <c r="P43"/>
      <c r="Q43"/>
      <c r="R43"/>
    </row>
    <row r="44" spans="3:18" x14ac:dyDescent="0.25">
      <c r="C44" s="49"/>
      <c r="D44" s="50"/>
      <c r="E44" s="50"/>
      <c r="F44" s="50"/>
      <c r="G44" s="50"/>
      <c r="H44" s="51"/>
      <c r="I44" s="52"/>
      <c r="J44" s="52"/>
      <c r="K44" s="52"/>
      <c r="O44" s="27"/>
      <c r="P44"/>
      <c r="Q44"/>
      <c r="R44"/>
    </row>
    <row r="45" spans="3:18" x14ac:dyDescent="0.25">
      <c r="C45" s="49"/>
      <c r="H45" s="51"/>
      <c r="I45" s="52"/>
      <c r="J45" s="52"/>
      <c r="K45" s="52"/>
      <c r="O45" s="27"/>
      <c r="P45"/>
      <c r="Q45"/>
      <c r="R45"/>
    </row>
    <row r="46" spans="3:18" x14ac:dyDescent="0.25">
      <c r="C46" s="49"/>
      <c r="D46" s="50"/>
      <c r="E46" s="50"/>
      <c r="F46" s="50"/>
      <c r="G46" s="50"/>
      <c r="H46" s="51"/>
      <c r="I46" s="52"/>
      <c r="J46" s="52"/>
      <c r="K46" s="52"/>
      <c r="O46" s="27"/>
      <c r="P46"/>
      <c r="Q46"/>
      <c r="R46"/>
    </row>
    <row r="47" spans="3:18" x14ac:dyDescent="0.25">
      <c r="C47" s="49"/>
      <c r="D47" s="50"/>
      <c r="E47" s="50"/>
      <c r="F47" s="50"/>
      <c r="G47" s="50"/>
      <c r="H47" s="51"/>
      <c r="I47" s="52"/>
      <c r="J47" s="52"/>
      <c r="K47" s="52"/>
      <c r="O47" s="53"/>
      <c r="P47"/>
      <c r="Q47"/>
      <c r="R47"/>
    </row>
    <row r="48" spans="3:18" ht="15.75" x14ac:dyDescent="0.25">
      <c r="C48" s="49"/>
      <c r="D48" s="50"/>
      <c r="E48" s="50"/>
      <c r="F48" s="50"/>
      <c r="G48" s="50"/>
      <c r="H48" s="51"/>
      <c r="I48" s="52"/>
      <c r="J48" s="52"/>
      <c r="K48" s="52"/>
      <c r="O48" s="40"/>
      <c r="P48"/>
      <c r="Q48"/>
      <c r="R48"/>
    </row>
    <row r="49" spans="3:18" ht="15.75" x14ac:dyDescent="0.25">
      <c r="C49" s="49"/>
      <c r="D49" s="50"/>
      <c r="E49" s="50"/>
      <c r="F49" s="50"/>
      <c r="G49" s="50"/>
      <c r="H49" s="51"/>
      <c r="I49" s="52"/>
      <c r="J49" s="52"/>
      <c r="K49" s="52"/>
      <c r="O49" s="40"/>
      <c r="P49"/>
      <c r="Q49"/>
      <c r="R49"/>
    </row>
    <row r="50" spans="3:18" ht="15.75" x14ac:dyDescent="0.25">
      <c r="C50" s="49"/>
      <c r="D50" s="50"/>
      <c r="E50" s="50"/>
      <c r="F50" s="50"/>
      <c r="G50" s="50"/>
      <c r="H50" s="51"/>
      <c r="I50" s="52"/>
      <c r="J50" s="52"/>
      <c r="K50" s="52"/>
      <c r="O50" s="40"/>
      <c r="P50"/>
      <c r="Q50"/>
      <c r="R50"/>
    </row>
    <row r="51" spans="3:18" x14ac:dyDescent="0.25">
      <c r="C51" s="49"/>
      <c r="D51" s="50"/>
      <c r="E51" s="50"/>
      <c r="F51" s="50"/>
      <c r="G51" s="50"/>
      <c r="H51" s="51"/>
      <c r="I51" s="52"/>
      <c r="J51" s="52"/>
      <c r="K51" s="52"/>
      <c r="P51"/>
      <c r="Q51"/>
      <c r="R51"/>
    </row>
    <row r="52" spans="3:18" x14ac:dyDescent="0.25">
      <c r="C52" s="49"/>
      <c r="D52" s="50"/>
      <c r="E52" s="50"/>
      <c r="F52" s="50"/>
      <c r="G52" s="50"/>
      <c r="H52" s="51"/>
      <c r="I52" s="52"/>
      <c r="J52" s="52"/>
      <c r="K52" s="52"/>
      <c r="P52"/>
      <c r="Q52"/>
      <c r="R52"/>
    </row>
    <row r="53" spans="3:18" x14ac:dyDescent="0.25">
      <c r="C53" s="49"/>
      <c r="D53" s="50"/>
      <c r="E53" s="50"/>
      <c r="F53" s="50"/>
      <c r="G53" s="50"/>
      <c r="H53" s="51"/>
      <c r="I53" s="52"/>
      <c r="J53" s="52"/>
      <c r="K53" s="52"/>
      <c r="P53"/>
      <c r="Q53"/>
      <c r="R53"/>
    </row>
    <row r="54" spans="3:18" x14ac:dyDescent="0.25">
      <c r="C54" s="49"/>
      <c r="D54" s="50"/>
      <c r="E54" s="50"/>
      <c r="F54" s="50"/>
      <c r="G54" s="50"/>
      <c r="H54" s="51"/>
      <c r="I54" s="52"/>
      <c r="J54" s="52"/>
      <c r="K54" s="52"/>
      <c r="P54"/>
      <c r="Q54"/>
      <c r="R54"/>
    </row>
    <row r="55" spans="3:18" x14ac:dyDescent="0.25">
      <c r="C55" s="49"/>
      <c r="D55" s="50"/>
      <c r="E55" s="50"/>
      <c r="F55" s="50"/>
      <c r="G55" s="50"/>
      <c r="H55" s="51"/>
      <c r="I55" s="52"/>
      <c r="J55" s="52"/>
      <c r="K55" s="52"/>
      <c r="P55"/>
      <c r="Q55"/>
      <c r="R55"/>
    </row>
    <row r="56" spans="3:18" x14ac:dyDescent="0.25">
      <c r="C56" s="49"/>
      <c r="D56" s="50"/>
      <c r="E56" s="50"/>
      <c r="F56" s="50"/>
      <c r="G56" s="50"/>
      <c r="H56" s="51"/>
      <c r="I56" s="52"/>
      <c r="J56" s="52"/>
      <c r="K56" s="52"/>
      <c r="P56"/>
      <c r="Q56"/>
      <c r="R56"/>
    </row>
    <row r="57" spans="3:18" x14ac:dyDescent="0.25">
      <c r="C57" s="49"/>
      <c r="D57" s="50"/>
      <c r="E57" s="50"/>
      <c r="F57" s="50"/>
      <c r="G57" s="50"/>
      <c r="H57" s="51"/>
      <c r="I57" s="52"/>
      <c r="J57" s="52"/>
      <c r="K57" s="52"/>
      <c r="P57"/>
      <c r="Q57"/>
      <c r="R57"/>
    </row>
    <row r="58" spans="3:18" x14ac:dyDescent="0.25">
      <c r="C58" s="49"/>
      <c r="D58" s="50"/>
      <c r="E58" s="50"/>
      <c r="F58" s="50"/>
      <c r="G58" s="50"/>
      <c r="H58" s="51"/>
      <c r="I58" s="52"/>
      <c r="J58" s="52"/>
      <c r="K58" s="52"/>
      <c r="P58"/>
      <c r="Q58"/>
      <c r="R58"/>
    </row>
    <row r="59" spans="3:18" x14ac:dyDescent="0.25">
      <c r="C59" s="49"/>
      <c r="D59" s="50"/>
      <c r="E59" s="50"/>
      <c r="F59" s="50"/>
      <c r="G59" s="50"/>
      <c r="H59" s="51"/>
      <c r="I59" s="52"/>
      <c r="J59" s="52"/>
      <c r="K59" s="52"/>
      <c r="L59"/>
      <c r="M59"/>
      <c r="N59"/>
      <c r="P59"/>
      <c r="Q59"/>
      <c r="R59"/>
    </row>
    <row r="60" spans="3:18" x14ac:dyDescent="0.25">
      <c r="C60" s="49"/>
      <c r="D60" s="50"/>
      <c r="E60" s="50"/>
      <c r="F60" s="50"/>
      <c r="G60" s="50"/>
      <c r="H60" s="51"/>
      <c r="I60" s="52"/>
      <c r="J60" s="52"/>
      <c r="K60" s="52"/>
      <c r="L60"/>
      <c r="M60"/>
      <c r="N60"/>
      <c r="P60"/>
      <c r="Q60"/>
      <c r="R60"/>
    </row>
    <row r="61" spans="3:18" x14ac:dyDescent="0.25">
      <c r="C61" s="49"/>
      <c r="D61" s="50"/>
      <c r="E61" s="50"/>
      <c r="F61" s="50"/>
      <c r="G61" s="50"/>
      <c r="H61" s="51"/>
      <c r="I61" s="52"/>
      <c r="J61" s="52"/>
      <c r="K61" s="52"/>
      <c r="L61"/>
      <c r="M61"/>
      <c r="N61"/>
      <c r="P61"/>
      <c r="Q61"/>
      <c r="R61"/>
    </row>
    <row r="62" spans="3:18" x14ac:dyDescent="0.25">
      <c r="C62" s="49"/>
      <c r="D62" s="50"/>
      <c r="E62" s="50"/>
      <c r="F62" s="50"/>
      <c r="G62" s="50"/>
      <c r="H62" s="51"/>
      <c r="I62" s="52"/>
      <c r="J62" s="52"/>
      <c r="K62" s="52"/>
      <c r="L62"/>
      <c r="M62"/>
      <c r="N62"/>
      <c r="P62"/>
      <c r="Q62"/>
      <c r="R62"/>
    </row>
    <row r="63" spans="3:18" x14ac:dyDescent="0.25">
      <c r="C63" s="49"/>
      <c r="D63" s="50"/>
      <c r="E63" s="50"/>
      <c r="F63" s="50"/>
      <c r="G63" s="50"/>
      <c r="H63" s="51"/>
      <c r="I63" s="52"/>
      <c r="J63" s="52"/>
      <c r="K63" s="52"/>
      <c r="L63"/>
      <c r="M63"/>
      <c r="N63"/>
      <c r="P63"/>
      <c r="Q63"/>
      <c r="R63"/>
    </row>
    <row r="64" spans="3:18" x14ac:dyDescent="0.25">
      <c r="C64" s="49"/>
      <c r="D64" s="50"/>
      <c r="E64" s="50"/>
      <c r="F64" s="50"/>
      <c r="G64" s="50"/>
      <c r="H64" s="51"/>
      <c r="I64" s="52"/>
      <c r="J64" s="52"/>
      <c r="K64" s="52"/>
      <c r="L64"/>
      <c r="M64"/>
      <c r="N64"/>
      <c r="P64"/>
      <c r="Q64"/>
      <c r="R64"/>
    </row>
    <row r="65" spans="3:18" x14ac:dyDescent="0.25">
      <c r="C65" s="49"/>
      <c r="D65" s="50"/>
      <c r="E65" s="50"/>
      <c r="F65" s="50"/>
      <c r="G65" s="50"/>
      <c r="H65" s="51"/>
      <c r="I65" s="52"/>
      <c r="J65" s="52"/>
      <c r="K65" s="52"/>
      <c r="L65"/>
      <c r="M65"/>
      <c r="N65"/>
      <c r="P65"/>
      <c r="Q65"/>
      <c r="R65"/>
    </row>
    <row r="66" spans="3:18" x14ac:dyDescent="0.25">
      <c r="C66" s="49"/>
      <c r="D66" s="50"/>
      <c r="E66" s="50"/>
      <c r="F66" s="50"/>
      <c r="G66" s="50"/>
      <c r="H66" s="51"/>
      <c r="I66" s="52"/>
      <c r="J66" s="52"/>
      <c r="K66" s="52"/>
      <c r="L66"/>
      <c r="M66"/>
      <c r="N66"/>
      <c r="P66"/>
      <c r="Q66"/>
      <c r="R66"/>
    </row>
    <row r="67" spans="3:18" x14ac:dyDescent="0.25">
      <c r="C67" s="49"/>
      <c r="D67" s="50"/>
      <c r="E67" s="50"/>
      <c r="F67" s="50"/>
      <c r="G67" s="50"/>
      <c r="H67" s="51"/>
      <c r="I67" s="52"/>
      <c r="J67" s="52"/>
      <c r="K67" s="52"/>
      <c r="L67"/>
      <c r="M67"/>
      <c r="N67"/>
      <c r="P67"/>
      <c r="Q67"/>
      <c r="R67"/>
    </row>
    <row r="68" spans="3:18" x14ac:dyDescent="0.25">
      <c r="C68" s="49"/>
      <c r="D68" s="50"/>
      <c r="E68" s="50"/>
      <c r="F68" s="50"/>
      <c r="G68" s="50"/>
      <c r="H68" s="51"/>
      <c r="I68" s="52"/>
      <c r="J68" s="52"/>
      <c r="K68" s="52"/>
      <c r="L68"/>
      <c r="M68"/>
      <c r="N68"/>
      <c r="P68"/>
      <c r="Q68"/>
      <c r="R68"/>
    </row>
    <row r="69" spans="3:18" x14ac:dyDescent="0.25">
      <c r="C69" s="49"/>
      <c r="D69" s="50"/>
      <c r="E69" s="50"/>
      <c r="F69" s="50"/>
      <c r="G69" s="50"/>
      <c r="H69" s="51"/>
      <c r="I69" s="52"/>
      <c r="J69" s="52"/>
      <c r="K69" s="52"/>
      <c r="L69"/>
      <c r="M69"/>
      <c r="N69"/>
      <c r="P69"/>
      <c r="Q69"/>
      <c r="R69"/>
    </row>
    <row r="70" spans="3:18" x14ac:dyDescent="0.25">
      <c r="C70" s="49"/>
      <c r="D70" s="50"/>
      <c r="E70" s="50"/>
      <c r="F70" s="50"/>
      <c r="G70" s="50"/>
      <c r="H70" s="51"/>
      <c r="I70" s="52"/>
      <c r="J70" s="52"/>
      <c r="K70" s="52"/>
      <c r="L70"/>
      <c r="M70"/>
      <c r="N70"/>
      <c r="P70"/>
      <c r="Q70"/>
      <c r="R70"/>
    </row>
    <row r="71" spans="3:18" x14ac:dyDescent="0.25">
      <c r="C71" s="49"/>
      <c r="D71" s="50"/>
      <c r="E71" s="50"/>
      <c r="F71" s="50"/>
      <c r="G71" s="50"/>
      <c r="H71" s="51"/>
      <c r="I71" s="52"/>
      <c r="J71" s="52"/>
      <c r="K71" s="52"/>
      <c r="L71"/>
      <c r="M71"/>
      <c r="N71"/>
      <c r="P71"/>
      <c r="Q71"/>
      <c r="R71"/>
    </row>
    <row r="72" spans="3:18" x14ac:dyDescent="0.25">
      <c r="C72" s="49"/>
      <c r="D72" s="50"/>
      <c r="E72" s="50"/>
      <c r="F72" s="50"/>
      <c r="G72" s="50"/>
      <c r="H72" s="51"/>
      <c r="I72" s="52"/>
      <c r="J72" s="52"/>
      <c r="K72" s="52"/>
      <c r="L72"/>
      <c r="M72"/>
      <c r="N72"/>
      <c r="P72"/>
      <c r="Q72"/>
      <c r="R72"/>
    </row>
    <row r="73" spans="3:18" x14ac:dyDescent="0.25">
      <c r="C73" s="49"/>
      <c r="D73" s="50"/>
      <c r="E73" s="50"/>
      <c r="F73" s="50"/>
      <c r="G73" s="50"/>
      <c r="H73" s="51"/>
      <c r="I73" s="52"/>
      <c r="J73" s="52"/>
      <c r="K73" s="52"/>
      <c r="L73"/>
      <c r="M73"/>
      <c r="N73"/>
      <c r="P73"/>
      <c r="Q73"/>
      <c r="R73"/>
    </row>
    <row r="74" spans="3:18" x14ac:dyDescent="0.25">
      <c r="C74" s="49"/>
      <c r="D74" s="50"/>
      <c r="E74" s="50"/>
      <c r="F74" s="50"/>
      <c r="G74" s="50"/>
      <c r="H74" s="51"/>
      <c r="I74" s="52"/>
      <c r="J74" s="52"/>
      <c r="K74" s="52"/>
      <c r="L74"/>
      <c r="M74"/>
      <c r="N74"/>
      <c r="P74"/>
      <c r="Q74"/>
      <c r="R74"/>
    </row>
    <row r="75" spans="3:18" x14ac:dyDescent="0.25">
      <c r="C75" s="49"/>
      <c r="D75" s="50"/>
      <c r="E75" s="50"/>
      <c r="F75" s="50"/>
      <c r="G75" s="50"/>
      <c r="H75" s="51"/>
      <c r="I75" s="52"/>
      <c r="J75" s="52"/>
      <c r="K75" s="52"/>
      <c r="L75"/>
      <c r="M75"/>
      <c r="N75"/>
      <c r="P75"/>
      <c r="Q75"/>
      <c r="R75"/>
    </row>
    <row r="76" spans="3:18" x14ac:dyDescent="0.25">
      <c r="C76" s="49"/>
      <c r="D76" s="50"/>
      <c r="E76" s="50"/>
      <c r="F76" s="50"/>
      <c r="G76" s="50"/>
      <c r="H76" s="51"/>
      <c r="I76" s="52"/>
      <c r="J76" s="52"/>
      <c r="K76" s="52"/>
      <c r="L76"/>
      <c r="M76"/>
      <c r="N76"/>
      <c r="P76"/>
      <c r="Q76"/>
      <c r="R76"/>
    </row>
    <row r="77" spans="3:18" x14ac:dyDescent="0.25">
      <c r="C77" s="49"/>
      <c r="D77" s="50"/>
      <c r="E77" s="50"/>
      <c r="F77" s="50"/>
      <c r="G77" s="50"/>
      <c r="H77" s="51"/>
      <c r="I77" s="52"/>
      <c r="J77" s="52"/>
      <c r="K77" s="52"/>
      <c r="L77"/>
      <c r="M77"/>
      <c r="N77"/>
      <c r="P77"/>
      <c r="Q77"/>
      <c r="R77"/>
    </row>
    <row r="78" spans="3:18" x14ac:dyDescent="0.25">
      <c r="C78" s="49"/>
      <c r="D78" s="50"/>
      <c r="E78" s="50"/>
      <c r="F78" s="50"/>
      <c r="G78" s="50"/>
      <c r="H78" s="51"/>
      <c r="I78" s="52"/>
      <c r="J78" s="52"/>
      <c r="K78" s="52"/>
      <c r="L78"/>
      <c r="M78"/>
      <c r="N78"/>
      <c r="P78"/>
      <c r="Q78"/>
      <c r="R78"/>
    </row>
    <row r="79" spans="3:18" x14ac:dyDescent="0.25">
      <c r="C79" s="49"/>
      <c r="D79" s="50"/>
      <c r="E79" s="50"/>
      <c r="F79" s="50"/>
      <c r="G79" s="50"/>
      <c r="H79" s="51"/>
      <c r="I79" s="52"/>
      <c r="J79" s="52"/>
      <c r="K79" s="52"/>
      <c r="L79"/>
      <c r="M79"/>
      <c r="N79"/>
      <c r="P79"/>
      <c r="Q79"/>
      <c r="R79"/>
    </row>
    <row r="80" spans="3:18" x14ac:dyDescent="0.25">
      <c r="C80" s="49"/>
      <c r="D80" s="50"/>
      <c r="E80" s="50"/>
      <c r="F80" s="50"/>
      <c r="G80" s="50"/>
      <c r="H80" s="51"/>
      <c r="I80" s="52"/>
      <c r="J80" s="52"/>
      <c r="K80" s="52"/>
      <c r="L80"/>
      <c r="M80"/>
      <c r="N80"/>
      <c r="P80"/>
      <c r="Q80"/>
      <c r="R80"/>
    </row>
    <row r="81" spans="3:18" x14ac:dyDescent="0.25">
      <c r="C81" s="49"/>
      <c r="D81" s="50"/>
      <c r="E81" s="50"/>
      <c r="F81" s="50"/>
      <c r="G81" s="50"/>
      <c r="H81" s="51"/>
      <c r="I81" s="52"/>
      <c r="J81" s="52"/>
      <c r="K81" s="52"/>
      <c r="L81"/>
      <c r="M81"/>
      <c r="N81"/>
      <c r="P81"/>
      <c r="Q81"/>
      <c r="R81"/>
    </row>
    <row r="82" spans="3:18" x14ac:dyDescent="0.25">
      <c r="C82" s="49"/>
      <c r="D82" s="50"/>
      <c r="E82" s="50"/>
      <c r="F82" s="50"/>
      <c r="G82" s="50"/>
      <c r="H82" s="51"/>
      <c r="I82" s="52"/>
      <c r="J82" s="52"/>
      <c r="K82" s="52"/>
      <c r="L82"/>
      <c r="M82"/>
      <c r="N82"/>
      <c r="P82"/>
      <c r="Q82"/>
      <c r="R82"/>
    </row>
    <row r="83" spans="3:18" x14ac:dyDescent="0.25">
      <c r="C83" s="49"/>
      <c r="D83" s="50"/>
      <c r="E83" s="50"/>
      <c r="F83" s="50"/>
      <c r="G83" s="50"/>
      <c r="H83" s="51"/>
      <c r="I83" s="52"/>
      <c r="J83" s="52"/>
      <c r="K83" s="52"/>
      <c r="L83"/>
      <c r="M83"/>
      <c r="N83"/>
      <c r="P83"/>
      <c r="Q83"/>
      <c r="R83"/>
    </row>
    <row r="84" spans="3:18" x14ac:dyDescent="0.25">
      <c r="C84" s="49"/>
      <c r="D84" s="50"/>
      <c r="E84" s="50"/>
      <c r="F84" s="50"/>
      <c r="G84" s="50"/>
      <c r="H84" s="51"/>
      <c r="I84" s="52"/>
      <c r="J84" s="52"/>
      <c r="K84" s="52"/>
      <c r="L84"/>
      <c r="M84"/>
      <c r="N84"/>
      <c r="P84"/>
      <c r="Q84"/>
      <c r="R84"/>
    </row>
    <row r="85" spans="3:18" x14ac:dyDescent="0.25">
      <c r="C85" s="49"/>
      <c r="D85" s="50"/>
      <c r="E85" s="50"/>
      <c r="F85" s="50"/>
      <c r="G85" s="50"/>
      <c r="H85" s="51"/>
      <c r="I85" s="52"/>
      <c r="J85" s="52"/>
      <c r="K85" s="52"/>
      <c r="L85"/>
      <c r="M85"/>
      <c r="N85"/>
      <c r="P85"/>
      <c r="Q85"/>
      <c r="R85"/>
    </row>
    <row r="86" spans="3:18" x14ac:dyDescent="0.25">
      <c r="C86" s="49"/>
      <c r="D86" s="50"/>
      <c r="E86" s="50"/>
      <c r="F86" s="50"/>
      <c r="G86" s="50"/>
      <c r="H86" s="51"/>
      <c r="I86" s="52"/>
      <c r="J86" s="52"/>
      <c r="K86" s="52"/>
      <c r="L86"/>
      <c r="M86"/>
      <c r="N86"/>
      <c r="P86"/>
      <c r="Q86"/>
      <c r="R86"/>
    </row>
    <row r="87" spans="3:18" x14ac:dyDescent="0.25">
      <c r="C87" s="49"/>
      <c r="D87" s="50"/>
      <c r="E87" s="50"/>
      <c r="F87" s="50"/>
      <c r="G87" s="50"/>
      <c r="H87" s="51"/>
      <c r="I87" s="52"/>
      <c r="J87" s="52"/>
      <c r="K87" s="52"/>
      <c r="L87"/>
      <c r="M87"/>
      <c r="N87"/>
      <c r="P87"/>
      <c r="Q87"/>
      <c r="R87"/>
    </row>
    <row r="88" spans="3:18" x14ac:dyDescent="0.25">
      <c r="C88" s="49"/>
      <c r="D88" s="50"/>
      <c r="E88" s="50"/>
      <c r="F88" s="50"/>
      <c r="G88" s="50"/>
      <c r="H88" s="51"/>
      <c r="I88" s="52"/>
      <c r="J88" s="52"/>
      <c r="K88" s="52"/>
      <c r="L88"/>
      <c r="M88"/>
      <c r="N88"/>
      <c r="P88"/>
      <c r="Q88"/>
      <c r="R88"/>
    </row>
    <row r="89" spans="3:18" x14ac:dyDescent="0.25">
      <c r="C89" s="49"/>
      <c r="D89" s="50"/>
      <c r="E89" s="50"/>
      <c r="F89" s="50"/>
      <c r="G89" s="50"/>
      <c r="H89" s="51"/>
      <c r="I89" s="52"/>
      <c r="J89" s="52"/>
      <c r="K89" s="52"/>
      <c r="L89"/>
      <c r="M89"/>
      <c r="N89"/>
      <c r="P89"/>
      <c r="Q89"/>
      <c r="R89"/>
    </row>
    <row r="90" spans="3:18" x14ac:dyDescent="0.25">
      <c r="C90" s="49"/>
      <c r="D90" s="50"/>
      <c r="E90" s="50"/>
      <c r="F90" s="50"/>
      <c r="G90" s="50"/>
      <c r="H90" s="51"/>
      <c r="I90" s="52"/>
      <c r="J90" s="52"/>
      <c r="K90" s="52"/>
      <c r="L90"/>
      <c r="M90"/>
      <c r="N90"/>
      <c r="P90"/>
      <c r="Q90"/>
      <c r="R90"/>
    </row>
    <row r="91" spans="3:18" x14ac:dyDescent="0.25">
      <c r="C91" s="49"/>
      <c r="D91" s="50"/>
      <c r="E91" s="50"/>
      <c r="F91" s="50"/>
      <c r="G91" s="50"/>
      <c r="H91" s="51"/>
      <c r="I91" s="52"/>
      <c r="J91" s="52"/>
      <c r="K91" s="52"/>
      <c r="L91"/>
      <c r="M91"/>
      <c r="N91"/>
      <c r="P91"/>
      <c r="Q91"/>
      <c r="R91"/>
    </row>
    <row r="92" spans="3:18" x14ac:dyDescent="0.25">
      <c r="C92" s="49"/>
      <c r="D92" s="50"/>
      <c r="E92" s="50"/>
      <c r="F92" s="50"/>
      <c r="G92" s="50"/>
      <c r="H92" s="51"/>
      <c r="I92" s="52"/>
      <c r="J92" s="52"/>
      <c r="K92" s="52"/>
      <c r="L92"/>
      <c r="M92"/>
      <c r="N92"/>
      <c r="P92"/>
      <c r="Q92"/>
      <c r="R92"/>
    </row>
    <row r="93" spans="3:18" x14ac:dyDescent="0.25">
      <c r="C93" s="49"/>
      <c r="D93" s="50"/>
      <c r="E93" s="50"/>
      <c r="F93" s="50"/>
      <c r="G93" s="50"/>
      <c r="H93" s="51"/>
      <c r="I93" s="52"/>
      <c r="J93" s="52"/>
      <c r="K93" s="52"/>
      <c r="L93"/>
      <c r="M93"/>
      <c r="N93"/>
      <c r="P93"/>
      <c r="Q93"/>
      <c r="R93"/>
    </row>
    <row r="94" spans="3:18" x14ac:dyDescent="0.25">
      <c r="C94" s="49"/>
      <c r="D94" s="50"/>
      <c r="E94" s="50"/>
      <c r="F94" s="50"/>
      <c r="G94" s="50"/>
      <c r="H94" s="51"/>
      <c r="I94" s="52"/>
      <c r="J94" s="52"/>
      <c r="K94" s="52"/>
      <c r="L94"/>
      <c r="M94"/>
      <c r="N94"/>
      <c r="P94"/>
      <c r="Q94"/>
      <c r="R94"/>
    </row>
    <row r="95" spans="3:18" x14ac:dyDescent="0.25">
      <c r="C95" s="49"/>
      <c r="D95" s="50"/>
      <c r="E95" s="50"/>
      <c r="F95" s="50"/>
      <c r="G95" s="50"/>
      <c r="H95" s="51"/>
      <c r="I95" s="52"/>
      <c r="J95" s="52"/>
      <c r="K95" s="52"/>
      <c r="L95"/>
      <c r="M95"/>
      <c r="N95"/>
      <c r="P95"/>
      <c r="Q95"/>
      <c r="R95"/>
    </row>
    <row r="96" spans="3:18" x14ac:dyDescent="0.25">
      <c r="C96" s="49"/>
      <c r="D96" s="50"/>
      <c r="E96" s="50"/>
      <c r="F96" s="50"/>
      <c r="G96" s="50"/>
      <c r="H96" s="51"/>
      <c r="I96" s="52"/>
      <c r="J96" s="52"/>
      <c r="K96" s="52"/>
      <c r="L96"/>
      <c r="M96"/>
      <c r="N96"/>
      <c r="P96"/>
      <c r="Q96"/>
      <c r="R96"/>
    </row>
    <row r="97" spans="3:18" x14ac:dyDescent="0.25">
      <c r="C97" s="49"/>
      <c r="D97" s="50"/>
      <c r="E97" s="50"/>
      <c r="F97" s="50"/>
      <c r="G97" s="50"/>
      <c r="H97" s="51"/>
      <c r="I97" s="52"/>
      <c r="J97" s="52"/>
      <c r="K97" s="52"/>
      <c r="L97"/>
      <c r="M97"/>
      <c r="N97"/>
      <c r="P97"/>
      <c r="Q97"/>
      <c r="R97"/>
    </row>
    <row r="98" spans="3:18" x14ac:dyDescent="0.25">
      <c r="C98" s="49"/>
      <c r="D98" s="50"/>
      <c r="E98" s="50"/>
      <c r="F98" s="50"/>
      <c r="G98" s="50"/>
      <c r="H98" s="51"/>
      <c r="I98" s="52"/>
      <c r="J98" s="52"/>
      <c r="K98" s="52"/>
      <c r="L98"/>
      <c r="M98"/>
      <c r="N98"/>
      <c r="P98"/>
      <c r="Q98"/>
      <c r="R98"/>
    </row>
    <row r="99" spans="3:18" x14ac:dyDescent="0.25">
      <c r="C99" s="49"/>
      <c r="D99" s="50"/>
      <c r="E99" s="50"/>
      <c r="F99" s="50"/>
      <c r="G99" s="50"/>
      <c r="H99" s="51"/>
      <c r="I99" s="52"/>
      <c r="J99" s="52"/>
      <c r="K99" s="52"/>
      <c r="L99"/>
      <c r="M99"/>
      <c r="N99"/>
      <c r="P99"/>
      <c r="Q99"/>
      <c r="R99"/>
    </row>
    <row r="100" spans="3:18" x14ac:dyDescent="0.25">
      <c r="C100" s="49"/>
      <c r="D100" s="50"/>
      <c r="E100" s="50"/>
      <c r="F100" s="50"/>
      <c r="G100" s="50"/>
      <c r="H100" s="51"/>
      <c r="I100" s="52"/>
      <c r="J100" s="52"/>
      <c r="K100" s="52"/>
      <c r="L100"/>
      <c r="M100"/>
      <c r="N100"/>
      <c r="P100"/>
      <c r="Q100"/>
      <c r="R100"/>
    </row>
    <row r="101" spans="3:18" x14ac:dyDescent="0.25">
      <c r="C101" s="49"/>
      <c r="D101" s="50"/>
      <c r="E101" s="50"/>
      <c r="F101" s="50"/>
      <c r="G101" s="50"/>
      <c r="H101" s="51"/>
      <c r="I101" s="52"/>
      <c r="J101" s="52"/>
      <c r="K101" s="52"/>
      <c r="L101"/>
      <c r="M101"/>
      <c r="N101"/>
      <c r="P101"/>
      <c r="Q101"/>
      <c r="R101"/>
    </row>
    <row r="102" spans="3:18" x14ac:dyDescent="0.25">
      <c r="C102" s="49"/>
      <c r="D102" s="50"/>
      <c r="E102" s="50"/>
      <c r="F102" s="50"/>
      <c r="G102" s="50"/>
      <c r="H102" s="51"/>
      <c r="I102" s="52"/>
      <c r="J102" s="52"/>
      <c r="K102" s="52"/>
      <c r="L102"/>
      <c r="M102"/>
      <c r="N102"/>
      <c r="P102"/>
      <c r="Q102"/>
      <c r="R102"/>
    </row>
    <row r="103" spans="3:18" x14ac:dyDescent="0.25">
      <c r="C103" s="49"/>
      <c r="D103" s="50"/>
      <c r="E103" s="50"/>
      <c r="F103" s="50"/>
      <c r="G103" s="50"/>
      <c r="H103" s="51"/>
      <c r="I103" s="52"/>
      <c r="J103" s="52"/>
      <c r="K103" s="52"/>
      <c r="L103"/>
      <c r="M103"/>
      <c r="N103"/>
      <c r="P103"/>
      <c r="Q103"/>
      <c r="R103"/>
    </row>
    <row r="104" spans="3:18" x14ac:dyDescent="0.25">
      <c r="C104" s="49"/>
      <c r="D104" s="50"/>
      <c r="E104" s="50"/>
      <c r="F104" s="50"/>
      <c r="G104" s="50"/>
      <c r="H104" s="51"/>
      <c r="I104" s="52"/>
      <c r="J104" s="52"/>
      <c r="K104" s="52"/>
      <c r="L104"/>
      <c r="M104"/>
      <c r="N104"/>
      <c r="P104"/>
      <c r="Q104"/>
      <c r="R104"/>
    </row>
    <row r="105" spans="3:18" x14ac:dyDescent="0.25">
      <c r="C105" s="49"/>
      <c r="D105" s="50"/>
      <c r="E105" s="50"/>
      <c r="F105" s="50"/>
      <c r="G105" s="50"/>
      <c r="H105" s="51"/>
      <c r="I105" s="52"/>
      <c r="J105" s="52"/>
      <c r="K105" s="52"/>
      <c r="L105"/>
      <c r="M105"/>
      <c r="N105"/>
      <c r="P105"/>
      <c r="Q105"/>
      <c r="R105"/>
    </row>
    <row r="106" spans="3:18" x14ac:dyDescent="0.25">
      <c r="C106" s="49"/>
      <c r="D106" s="50"/>
      <c r="E106" s="50"/>
      <c r="F106" s="50"/>
      <c r="G106" s="50"/>
      <c r="H106" s="51"/>
      <c r="I106" s="52"/>
      <c r="J106" s="52"/>
      <c r="K106" s="52"/>
      <c r="L106"/>
      <c r="M106"/>
      <c r="N106"/>
      <c r="P106"/>
      <c r="Q106"/>
      <c r="R106"/>
    </row>
    <row r="107" spans="3:18" x14ac:dyDescent="0.25">
      <c r="C107" s="49"/>
      <c r="D107" s="50"/>
      <c r="E107" s="50"/>
      <c r="F107" s="50"/>
      <c r="G107" s="50"/>
      <c r="H107" s="51"/>
      <c r="I107" s="52"/>
      <c r="J107" s="52"/>
      <c r="K107" s="52"/>
      <c r="L107"/>
      <c r="M107"/>
      <c r="N107"/>
      <c r="P107"/>
      <c r="Q107"/>
      <c r="R107"/>
    </row>
    <row r="108" spans="3:18" x14ac:dyDescent="0.25">
      <c r="C108" s="49"/>
      <c r="D108" s="50"/>
      <c r="E108" s="50"/>
      <c r="F108" s="50"/>
      <c r="G108" s="50"/>
      <c r="H108" s="51"/>
      <c r="I108" s="52"/>
      <c r="J108" s="52"/>
      <c r="K108" s="52"/>
      <c r="L108"/>
      <c r="M108"/>
      <c r="N108"/>
      <c r="P108"/>
      <c r="Q108"/>
      <c r="R108"/>
    </row>
    <row r="109" spans="3:18" x14ac:dyDescent="0.25">
      <c r="C109" s="49"/>
      <c r="D109" s="50"/>
      <c r="E109" s="50"/>
      <c r="F109" s="50"/>
      <c r="G109" s="50"/>
      <c r="H109" s="51"/>
      <c r="I109" s="52"/>
      <c r="J109" s="52"/>
      <c r="K109" s="52"/>
      <c r="L109"/>
      <c r="M109"/>
      <c r="N109"/>
      <c r="P109"/>
      <c r="Q109"/>
      <c r="R109"/>
    </row>
    <row r="110" spans="3:18" x14ac:dyDescent="0.25">
      <c r="C110" s="49"/>
      <c r="D110" s="50"/>
      <c r="E110" s="50"/>
      <c r="F110" s="50"/>
      <c r="G110" s="50"/>
      <c r="H110" s="51"/>
      <c r="I110" s="52"/>
      <c r="J110" s="52"/>
      <c r="K110" s="52"/>
      <c r="L110"/>
      <c r="M110"/>
      <c r="N110"/>
      <c r="P110"/>
      <c r="Q110"/>
      <c r="R110"/>
    </row>
    <row r="111" spans="3:18" x14ac:dyDescent="0.25">
      <c r="C111" s="49"/>
      <c r="D111" s="50"/>
      <c r="E111" s="50"/>
      <c r="F111" s="50"/>
      <c r="G111" s="50"/>
      <c r="H111" s="51"/>
      <c r="I111" s="52"/>
      <c r="J111" s="52"/>
      <c r="K111" s="52"/>
      <c r="L111"/>
      <c r="M111"/>
      <c r="N111"/>
      <c r="P111"/>
      <c r="Q111"/>
      <c r="R111"/>
    </row>
    <row r="112" spans="3:18" x14ac:dyDescent="0.25">
      <c r="C112" s="49"/>
      <c r="D112" s="50"/>
      <c r="E112" s="50"/>
      <c r="F112" s="50"/>
      <c r="G112" s="50"/>
      <c r="H112" s="51"/>
      <c r="I112" s="52"/>
      <c r="J112" s="52"/>
      <c r="K112" s="52"/>
      <c r="L112"/>
      <c r="M112"/>
      <c r="N112"/>
      <c r="P112"/>
      <c r="Q112"/>
      <c r="R112"/>
    </row>
    <row r="113" spans="3:18" x14ac:dyDescent="0.25">
      <c r="C113" s="49"/>
      <c r="D113" s="50"/>
      <c r="E113" s="50"/>
      <c r="F113" s="50"/>
      <c r="G113" s="50"/>
      <c r="H113" s="51"/>
      <c r="I113" s="52"/>
      <c r="J113" s="52"/>
      <c r="K113" s="52"/>
      <c r="L113"/>
      <c r="M113"/>
      <c r="N113"/>
      <c r="P113"/>
      <c r="Q113"/>
      <c r="R113"/>
    </row>
    <row r="114" spans="3:18" x14ac:dyDescent="0.25">
      <c r="C114" s="49"/>
      <c r="D114" s="50"/>
      <c r="E114" s="50"/>
      <c r="F114" s="50"/>
      <c r="G114" s="50"/>
      <c r="H114" s="51"/>
      <c r="I114" s="52"/>
      <c r="J114" s="52"/>
      <c r="K114" s="52"/>
      <c r="L114"/>
      <c r="M114"/>
      <c r="N114"/>
      <c r="P114"/>
      <c r="Q114"/>
      <c r="R114"/>
    </row>
    <row r="115" spans="3:18" x14ac:dyDescent="0.25">
      <c r="C115" s="49"/>
      <c r="D115" s="50"/>
      <c r="E115" s="50"/>
      <c r="F115" s="50"/>
      <c r="G115" s="50"/>
      <c r="H115" s="51"/>
      <c r="I115" s="52"/>
      <c r="J115" s="52"/>
      <c r="K115" s="52"/>
      <c r="L115"/>
      <c r="M115"/>
      <c r="N115"/>
      <c r="P115"/>
      <c r="Q115"/>
      <c r="R115"/>
    </row>
  </sheetData>
  <sheetProtection password="EFEB" sheet="1" objects="1" scenarios="1"/>
  <mergeCells count="6">
    <mergeCell ref="I4:K4"/>
    <mergeCell ref="D34:J34"/>
    <mergeCell ref="D36:J36"/>
    <mergeCell ref="B2:R2"/>
    <mergeCell ref="L3:N3"/>
    <mergeCell ref="P3:R3"/>
  </mergeCell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dimension ref="B3:AJ111"/>
  <sheetViews>
    <sheetView topLeftCell="B4" workbookViewId="0">
      <selection activeCell="B4" sqref="B4"/>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2" width="14.28515625" style="4" customWidth="1"/>
    <col min="13" max="13" width="14.85546875" style="4" customWidth="1"/>
    <col min="14" max="14" width="13.710937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3" width="14.28515625" customWidth="1"/>
    <col min="264" max="264" width="13.710937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19" width="14.28515625" customWidth="1"/>
    <col min="520" max="520" width="13.710937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5" width="14.28515625" customWidth="1"/>
    <col min="776" max="776" width="13.710937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1" width="14.28515625" customWidth="1"/>
    <col min="1032" max="1032" width="13.710937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7" width="14.28515625" customWidth="1"/>
    <col min="1288" max="1288" width="13.710937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3" width="14.28515625" customWidth="1"/>
    <col min="1544" max="1544" width="13.710937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799" width="14.28515625" customWidth="1"/>
    <col min="1800" max="1800" width="13.710937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5" width="14.28515625" customWidth="1"/>
    <col min="2056" max="2056" width="13.710937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1" width="14.28515625" customWidth="1"/>
    <col min="2312" max="2312" width="13.710937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7" width="14.28515625" customWidth="1"/>
    <col min="2568" max="2568" width="13.710937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3" width="14.28515625" customWidth="1"/>
    <col min="2824" max="2824" width="13.710937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79" width="14.28515625" customWidth="1"/>
    <col min="3080" max="3080" width="13.710937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5" width="14.28515625" customWidth="1"/>
    <col min="3336" max="3336" width="13.710937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1" width="14.28515625" customWidth="1"/>
    <col min="3592" max="3592" width="13.710937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7" width="14.28515625" customWidth="1"/>
    <col min="3848" max="3848" width="13.710937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3" width="14.28515625" customWidth="1"/>
    <col min="4104" max="4104" width="13.710937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59" width="14.28515625" customWidth="1"/>
    <col min="4360" max="4360" width="13.710937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5" width="14.28515625" customWidth="1"/>
    <col min="4616" max="4616" width="13.710937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1" width="14.28515625" customWidth="1"/>
    <col min="4872" max="4872" width="13.710937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7" width="14.28515625" customWidth="1"/>
    <col min="5128" max="5128" width="13.710937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3" width="14.28515625" customWidth="1"/>
    <col min="5384" max="5384" width="13.710937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39" width="14.28515625" customWidth="1"/>
    <col min="5640" max="5640" width="13.710937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5" width="14.28515625" customWidth="1"/>
    <col min="5896" max="5896" width="13.710937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1" width="14.28515625" customWidth="1"/>
    <col min="6152" max="6152" width="13.710937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7" width="14.28515625" customWidth="1"/>
    <col min="6408" max="6408" width="13.710937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3" width="14.28515625" customWidth="1"/>
    <col min="6664" max="6664" width="13.710937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19" width="14.28515625" customWidth="1"/>
    <col min="6920" max="6920" width="13.710937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5" width="14.28515625" customWidth="1"/>
    <col min="7176" max="7176" width="13.710937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1" width="14.28515625" customWidth="1"/>
    <col min="7432" max="7432" width="13.710937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7" width="14.28515625" customWidth="1"/>
    <col min="7688" max="7688" width="13.710937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3" width="14.28515625" customWidth="1"/>
    <col min="7944" max="7944" width="13.710937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199" width="14.28515625" customWidth="1"/>
    <col min="8200" max="8200" width="13.710937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5" width="14.28515625" customWidth="1"/>
    <col min="8456" max="8456" width="13.710937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1" width="14.28515625" customWidth="1"/>
    <col min="8712" max="8712" width="13.710937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7" width="14.28515625" customWidth="1"/>
    <col min="8968" max="8968" width="13.710937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3" width="14.28515625" customWidth="1"/>
    <col min="9224" max="9224" width="13.710937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79" width="14.28515625" customWidth="1"/>
    <col min="9480" max="9480" width="13.710937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5" width="14.28515625" customWidth="1"/>
    <col min="9736" max="9736" width="13.710937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1" width="14.28515625" customWidth="1"/>
    <col min="9992" max="9992" width="13.710937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7" width="14.28515625" customWidth="1"/>
    <col min="10248" max="10248" width="13.710937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3" width="14.28515625" customWidth="1"/>
    <col min="10504" max="10504" width="13.710937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59" width="14.28515625" customWidth="1"/>
    <col min="10760" max="10760" width="13.710937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5" width="14.28515625" customWidth="1"/>
    <col min="11016" max="11016" width="13.710937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1" width="14.28515625" customWidth="1"/>
    <col min="11272" max="11272" width="13.710937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7" width="14.28515625" customWidth="1"/>
    <col min="11528" max="11528" width="13.710937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3" width="14.28515625" customWidth="1"/>
    <col min="11784" max="11784" width="13.710937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39" width="14.28515625" customWidth="1"/>
    <col min="12040" max="12040" width="13.710937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5" width="14.28515625" customWidth="1"/>
    <col min="12296" max="12296" width="13.710937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1" width="14.28515625" customWidth="1"/>
    <col min="12552" max="12552" width="13.710937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7" width="14.28515625" customWidth="1"/>
    <col min="12808" max="12808" width="13.710937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3" width="14.28515625" customWidth="1"/>
    <col min="13064" max="13064" width="13.710937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19" width="14.28515625" customWidth="1"/>
    <col min="13320" max="13320" width="13.710937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5" width="14.28515625" customWidth="1"/>
    <col min="13576" max="13576" width="13.710937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1" width="14.28515625" customWidth="1"/>
    <col min="13832" max="13832" width="13.710937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7" width="14.28515625" customWidth="1"/>
    <col min="14088" max="14088" width="13.710937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3" width="14.28515625" customWidth="1"/>
    <col min="14344" max="14344" width="13.710937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599" width="14.28515625" customWidth="1"/>
    <col min="14600" max="14600" width="13.710937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5" width="14.28515625" customWidth="1"/>
    <col min="14856" max="14856" width="13.710937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1" width="14.28515625" customWidth="1"/>
    <col min="15112" max="15112" width="13.710937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7" width="14.28515625" customWidth="1"/>
    <col min="15368" max="15368" width="13.710937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3" width="14.28515625" customWidth="1"/>
    <col min="15624" max="15624" width="13.710937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79" width="14.28515625" customWidth="1"/>
    <col min="15880" max="15880" width="13.710937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5" width="14.28515625" customWidth="1"/>
    <col min="16136" max="16136" width="13.710937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3" spans="2:36" s="7" customFormat="1" ht="18.75" thickBot="1" x14ac:dyDescent="0.3">
      <c r="B3" s="287" t="s">
        <v>593</v>
      </c>
      <c r="C3" s="287"/>
      <c r="D3" s="287"/>
      <c r="E3" s="287"/>
      <c r="F3" s="287"/>
      <c r="G3" s="287"/>
      <c r="H3" s="287"/>
      <c r="I3" s="287"/>
      <c r="J3" s="287"/>
      <c r="K3" s="287"/>
      <c r="L3" s="296"/>
      <c r="M3" s="296"/>
      <c r="N3" s="296"/>
      <c r="O3" s="296"/>
      <c r="P3" s="296"/>
      <c r="Q3" s="296"/>
      <c r="R3" s="296"/>
      <c r="S3" s="8"/>
      <c r="T3" s="8"/>
      <c r="U3" s="8"/>
      <c r="V3" s="8"/>
      <c r="W3" s="8"/>
      <c r="X3" s="8"/>
      <c r="Y3" s="8"/>
      <c r="Z3" s="8"/>
      <c r="AA3" s="8"/>
      <c r="AB3" s="8"/>
      <c r="AC3" s="8"/>
      <c r="AD3" s="8"/>
      <c r="AE3" s="8"/>
      <c r="AF3" s="8"/>
      <c r="AG3" s="8"/>
      <c r="AH3" s="8"/>
      <c r="AI3" s="8"/>
      <c r="AJ3" s="8"/>
    </row>
    <row r="4" spans="2:36" s="7" customFormat="1" ht="32.25" customHeight="1" thickBot="1" x14ac:dyDescent="0.3">
      <c r="B4" s="89"/>
      <c r="C4" s="89"/>
      <c r="D4" s="89"/>
      <c r="E4" s="184"/>
      <c r="F4" s="184"/>
      <c r="G4" s="184"/>
      <c r="H4" s="89"/>
      <c r="I4" s="89"/>
      <c r="J4" s="89"/>
      <c r="K4" s="89"/>
      <c r="L4" s="290" t="s">
        <v>310</v>
      </c>
      <c r="M4" s="291"/>
      <c r="N4" s="292"/>
      <c r="O4" s="94" t="s">
        <v>317</v>
      </c>
      <c r="P4" s="291" t="s">
        <v>318</v>
      </c>
      <c r="Q4" s="291"/>
      <c r="R4" s="292"/>
      <c r="S4" s="8"/>
      <c r="T4" s="8"/>
      <c r="U4" s="8"/>
      <c r="V4" s="8"/>
      <c r="W4" s="8"/>
      <c r="X4" s="8"/>
      <c r="Y4" s="8"/>
      <c r="Z4" s="8"/>
      <c r="AA4" s="8"/>
      <c r="AB4" s="8"/>
      <c r="AC4" s="8"/>
      <c r="AD4" s="8"/>
      <c r="AE4" s="8"/>
      <c r="AF4" s="8"/>
      <c r="AG4" s="8"/>
      <c r="AH4" s="8"/>
      <c r="AI4" s="8"/>
      <c r="AJ4" s="8"/>
    </row>
    <row r="5" spans="2:36" ht="39" thickBot="1" x14ac:dyDescent="0.3">
      <c r="B5" s="202" t="s">
        <v>0</v>
      </c>
      <c r="C5" s="201" t="s">
        <v>466</v>
      </c>
      <c r="D5" s="202" t="s">
        <v>1</v>
      </c>
      <c r="E5" s="202" t="s">
        <v>463</v>
      </c>
      <c r="F5" s="210" t="s">
        <v>465</v>
      </c>
      <c r="G5" s="202" t="s">
        <v>464</v>
      </c>
      <c r="H5" s="202" t="s">
        <v>2</v>
      </c>
      <c r="I5" s="297" t="s">
        <v>3</v>
      </c>
      <c r="J5" s="298"/>
      <c r="K5" s="299"/>
      <c r="L5" s="219" t="s">
        <v>311</v>
      </c>
      <c r="M5" s="219" t="s">
        <v>312</v>
      </c>
      <c r="N5" s="219" t="s">
        <v>313</v>
      </c>
      <c r="O5" s="220" t="s">
        <v>319</v>
      </c>
      <c r="P5" s="221" t="s">
        <v>4</v>
      </c>
      <c r="Q5" s="222" t="s">
        <v>5</v>
      </c>
      <c r="R5" s="131" t="s">
        <v>6</v>
      </c>
    </row>
    <row r="6" spans="2:36" s="17" customFormat="1" ht="12.75" x14ac:dyDescent="0.2">
      <c r="B6" s="118">
        <v>1</v>
      </c>
      <c r="C6" s="134" t="s">
        <v>138</v>
      </c>
      <c r="D6" s="223" t="s">
        <v>23</v>
      </c>
      <c r="E6" s="120" t="s">
        <v>478</v>
      </c>
      <c r="F6" s="225" t="s">
        <v>469</v>
      </c>
      <c r="G6" s="120" t="str">
        <f>UPPER(F6)</f>
        <v>REUNIÃO DO CONSELHO DIRETOR.</v>
      </c>
      <c r="H6" s="122" t="s">
        <v>139</v>
      </c>
      <c r="I6" s="121">
        <v>43191</v>
      </c>
      <c r="J6" s="122">
        <v>23</v>
      </c>
      <c r="K6" s="123">
        <v>23</v>
      </c>
      <c r="L6" s="148">
        <v>0</v>
      </c>
      <c r="M6" s="148">
        <v>61.6</v>
      </c>
      <c r="N6" s="148">
        <v>0</v>
      </c>
      <c r="O6" s="130">
        <v>0</v>
      </c>
      <c r="P6" s="125">
        <f>315.68+200</f>
        <v>515.68000000000006</v>
      </c>
      <c r="Q6" s="136">
        <v>0</v>
      </c>
      <c r="R6" s="127">
        <f t="shared" ref="R6:R27" si="0">L6+M6+N6+O6+P6+Q6</f>
        <v>577.28000000000009</v>
      </c>
      <c r="S6" s="16"/>
      <c r="T6" s="16"/>
      <c r="U6" s="16"/>
      <c r="V6" s="16"/>
    </row>
    <row r="7" spans="2:36" s="17" customFormat="1" ht="33.75" x14ac:dyDescent="0.2">
      <c r="B7" s="99">
        <v>2</v>
      </c>
      <c r="C7" s="63" t="s">
        <v>140</v>
      </c>
      <c r="D7" s="189" t="s">
        <v>558</v>
      </c>
      <c r="E7" s="9" t="s">
        <v>557</v>
      </c>
      <c r="F7" s="188" t="s">
        <v>543</v>
      </c>
      <c r="G7" s="9" t="str">
        <f>UPPER(F7)</f>
        <v>PARTICIPAR DO GRAND ROUND - GUIA ALIMENTAR, COMO PALESTRANTE, NO PERÍODO DE 12 A 13/06/2018.</v>
      </c>
      <c r="H7" s="9" t="s">
        <v>141</v>
      </c>
      <c r="I7" s="18">
        <v>43252</v>
      </c>
      <c r="J7" s="10">
        <v>12</v>
      </c>
      <c r="K7" s="11">
        <v>13</v>
      </c>
      <c r="L7" s="58">
        <v>0</v>
      </c>
      <c r="M7" s="58">
        <v>0</v>
      </c>
      <c r="N7" s="58">
        <v>0</v>
      </c>
      <c r="O7" s="54">
        <v>0</v>
      </c>
      <c r="P7" s="14">
        <v>390.85</v>
      </c>
      <c r="Q7" s="137">
        <v>0</v>
      </c>
      <c r="R7" s="98">
        <f t="shared" si="0"/>
        <v>390.85</v>
      </c>
      <c r="S7" s="16"/>
      <c r="T7" s="16"/>
      <c r="U7" s="16"/>
      <c r="V7" s="16"/>
    </row>
    <row r="8" spans="2:36" s="17" customFormat="1" ht="27" customHeight="1" x14ac:dyDescent="0.2">
      <c r="B8" s="99">
        <v>3</v>
      </c>
      <c r="C8" s="62" t="s">
        <v>142</v>
      </c>
      <c r="D8" s="189" t="s">
        <v>85</v>
      </c>
      <c r="E8" s="216" t="s">
        <v>512</v>
      </c>
      <c r="F8" s="214" t="s">
        <v>544</v>
      </c>
      <c r="G8" s="9" t="str">
        <f t="shared" ref="G8:G27" si="1">UPPER(F8)</f>
        <v>PARTICIPAR DE  CAPACITAÇÃO COMPLIANCE ACROSS AMÉRICAS</v>
      </c>
      <c r="H8" s="9" t="s">
        <v>53</v>
      </c>
      <c r="I8" s="18">
        <v>43191</v>
      </c>
      <c r="J8" s="10">
        <v>11</v>
      </c>
      <c r="K8" s="11">
        <v>13</v>
      </c>
      <c r="L8" s="58">
        <v>0</v>
      </c>
      <c r="M8" s="58">
        <v>63.96</v>
      </c>
      <c r="N8" s="58">
        <v>0</v>
      </c>
      <c r="O8" s="54">
        <f>30+35+10+48+42</f>
        <v>165</v>
      </c>
      <c r="P8" s="14">
        <v>2602.85</v>
      </c>
      <c r="Q8" s="137">
        <f>640.5+179.33</f>
        <v>819.83</v>
      </c>
      <c r="R8" s="98">
        <f t="shared" si="0"/>
        <v>3651.64</v>
      </c>
      <c r="S8" s="16"/>
      <c r="T8" s="16"/>
      <c r="U8" s="16"/>
      <c r="V8" s="16"/>
    </row>
    <row r="9" spans="2:36" s="17" customFormat="1" ht="81.75" customHeight="1" x14ac:dyDescent="0.2">
      <c r="B9" s="99">
        <v>4</v>
      </c>
      <c r="C9" s="63" t="s">
        <v>143</v>
      </c>
      <c r="D9" s="189" t="s">
        <v>144</v>
      </c>
      <c r="E9" s="216" t="s">
        <v>559</v>
      </c>
      <c r="F9" s="229" t="s">
        <v>545</v>
      </c>
      <c r="G9" s="9" t="str">
        <f t="shared" si="1"/>
        <v>ATUALIZAÇÃO REFERENTE AOS NOVOS PROCEDIMENTOS A SEREM UTILIZADOS PELOS GESTORES PARA CONTABILIZAÇÃO DAS RETENÇÕES E ENCARGOS PATRONAIS PREVIDENCIÁRIOS, ATUALMENTE RECOLHIDOS POR GPS E QUE PASSARÃO A SER RECOLHIDOS POR DARF NUMERADO.</v>
      </c>
      <c r="H9" s="9" t="s">
        <v>9</v>
      </c>
      <c r="I9" s="18">
        <v>43191</v>
      </c>
      <c r="J9" s="10">
        <v>15</v>
      </c>
      <c r="K9" s="11">
        <v>16</v>
      </c>
      <c r="L9" s="58">
        <v>0</v>
      </c>
      <c r="M9" s="58">
        <v>0</v>
      </c>
      <c r="N9" s="58">
        <v>0</v>
      </c>
      <c r="O9" s="54">
        <f>58.31+15.1+42.1</f>
        <v>115.50999999999999</v>
      </c>
      <c r="P9" s="14">
        <f>860.68+526.03</f>
        <v>1386.71</v>
      </c>
      <c r="Q9" s="137">
        <f>246.1+77.55</f>
        <v>323.64999999999998</v>
      </c>
      <c r="R9" s="98">
        <f t="shared" si="0"/>
        <v>1825.87</v>
      </c>
      <c r="S9" s="16"/>
      <c r="T9" s="16"/>
      <c r="U9" s="16"/>
      <c r="V9" s="16"/>
    </row>
    <row r="10" spans="2:36" s="17" customFormat="1" ht="12.75" x14ac:dyDescent="0.2">
      <c r="B10" s="99">
        <v>5</v>
      </c>
      <c r="C10" s="63" t="s">
        <v>145</v>
      </c>
      <c r="D10" s="24" t="s">
        <v>17</v>
      </c>
      <c r="E10" s="9" t="s">
        <v>478</v>
      </c>
      <c r="F10" s="230" t="s">
        <v>469</v>
      </c>
      <c r="G10" s="9" t="str">
        <f t="shared" si="1"/>
        <v>REUNIÃO DO CONSELHO DIRETOR.</v>
      </c>
      <c r="H10" s="9" t="s">
        <v>18</v>
      </c>
      <c r="I10" s="18">
        <v>43191</v>
      </c>
      <c r="J10" s="10">
        <v>23</v>
      </c>
      <c r="K10" s="11">
        <v>23</v>
      </c>
      <c r="L10" s="58">
        <v>0</v>
      </c>
      <c r="M10" s="58">
        <v>0</v>
      </c>
      <c r="N10" s="58">
        <v>0</v>
      </c>
      <c r="O10" s="54">
        <v>0</v>
      </c>
      <c r="P10" s="14">
        <f>970.03+798.9</f>
        <v>1768.9299999999998</v>
      </c>
      <c r="Q10" s="137">
        <v>0</v>
      </c>
      <c r="R10" s="98">
        <f t="shared" si="0"/>
        <v>1768.9299999999998</v>
      </c>
      <c r="S10" s="16"/>
      <c r="T10" s="16"/>
      <c r="U10" s="16"/>
      <c r="V10" s="16"/>
    </row>
    <row r="11" spans="2:36" s="17" customFormat="1" ht="33.75" x14ac:dyDescent="0.2">
      <c r="B11" s="99">
        <v>6</v>
      </c>
      <c r="C11" s="63" t="s">
        <v>146</v>
      </c>
      <c r="D11" s="189" t="s">
        <v>32</v>
      </c>
      <c r="E11" s="9" t="s">
        <v>560</v>
      </c>
      <c r="F11" s="188" t="s">
        <v>546</v>
      </c>
      <c r="G11" s="9" t="str">
        <f t="shared" si="1"/>
        <v>REUNIÃO NO GABINETE DA SECRETARIA EXECUTIVA DO MEC PARA TRATAR ASSUNTO REFERENTE A  OBRAS DOS ANEXOS I E II</v>
      </c>
      <c r="H11" s="10" t="s">
        <v>9</v>
      </c>
      <c r="I11" s="18">
        <v>43191</v>
      </c>
      <c r="J11" s="10">
        <v>18</v>
      </c>
      <c r="K11" s="11">
        <v>18</v>
      </c>
      <c r="L11" s="58">
        <v>0</v>
      </c>
      <c r="M11" s="58">
        <v>0</v>
      </c>
      <c r="N11" s="58">
        <v>0</v>
      </c>
      <c r="O11" s="54">
        <v>0</v>
      </c>
      <c r="P11" s="14">
        <v>1719.61</v>
      </c>
      <c r="Q11" s="137">
        <v>0</v>
      </c>
      <c r="R11" s="98">
        <f t="shared" si="0"/>
        <v>1719.61</v>
      </c>
      <c r="S11" s="16"/>
      <c r="T11" s="16"/>
      <c r="U11" s="16"/>
      <c r="V11" s="16"/>
    </row>
    <row r="12" spans="2:36" s="17" customFormat="1" ht="22.5" x14ac:dyDescent="0.2">
      <c r="B12" s="99">
        <v>7</v>
      </c>
      <c r="C12" s="62" t="s">
        <v>147</v>
      </c>
      <c r="D12" s="189" t="s">
        <v>11</v>
      </c>
      <c r="E12" s="9" t="s">
        <v>501</v>
      </c>
      <c r="F12" s="226" t="s">
        <v>547</v>
      </c>
      <c r="G12" s="9" t="str">
        <f t="shared" si="1"/>
        <v>PARA PARTICIPAR DE REUNIÃO EXECUTIVA NO MINISTÉRIO DA EDUCAÇÃO-MEC</v>
      </c>
      <c r="H12" s="9" t="s">
        <v>9</v>
      </c>
      <c r="I12" s="18">
        <v>43191</v>
      </c>
      <c r="J12" s="10">
        <v>18</v>
      </c>
      <c r="K12" s="11">
        <v>18</v>
      </c>
      <c r="L12" s="58">
        <v>0</v>
      </c>
      <c r="M12" s="58">
        <v>97</v>
      </c>
      <c r="N12" s="58">
        <v>0</v>
      </c>
      <c r="O12" s="54">
        <v>0</v>
      </c>
      <c r="P12" s="14">
        <f>1629.61</f>
        <v>1629.61</v>
      </c>
      <c r="Q12" s="137">
        <v>500</v>
      </c>
      <c r="R12" s="98">
        <f t="shared" si="0"/>
        <v>2226.6099999999997</v>
      </c>
      <c r="S12" s="16"/>
      <c r="T12" s="16"/>
      <c r="U12" s="16"/>
      <c r="V12" s="16"/>
    </row>
    <row r="13" spans="2:36" s="17" customFormat="1" ht="12.75" x14ac:dyDescent="0.2">
      <c r="B13" s="99">
        <v>8</v>
      </c>
      <c r="C13" s="62" t="s">
        <v>148</v>
      </c>
      <c r="D13" s="189" t="s">
        <v>15</v>
      </c>
      <c r="E13" s="9" t="s">
        <v>561</v>
      </c>
      <c r="F13" s="233" t="s">
        <v>548</v>
      </c>
      <c r="G13" s="9" t="str">
        <f t="shared" si="1"/>
        <v>REUNIÃO MEC - ESTATUTO HCPA</v>
      </c>
      <c r="H13" s="9" t="s">
        <v>9</v>
      </c>
      <c r="I13" s="18">
        <v>43191</v>
      </c>
      <c r="J13" s="10">
        <v>18</v>
      </c>
      <c r="K13" s="11">
        <v>18</v>
      </c>
      <c r="L13" s="58">
        <v>28</v>
      </c>
      <c r="M13" s="58">
        <v>97</v>
      </c>
      <c r="N13" s="58">
        <v>0</v>
      </c>
      <c r="O13" s="54">
        <v>26</v>
      </c>
      <c r="P13" s="14">
        <v>1629.61</v>
      </c>
      <c r="Q13" s="137">
        <v>0</v>
      </c>
      <c r="R13" s="98">
        <f t="shared" si="0"/>
        <v>1780.61</v>
      </c>
      <c r="S13" s="16"/>
      <c r="T13" s="16"/>
      <c r="U13" s="16"/>
      <c r="V13" s="16"/>
    </row>
    <row r="14" spans="2:36" s="17" customFormat="1" ht="24" customHeight="1" x14ac:dyDescent="0.2">
      <c r="B14" s="99">
        <v>9</v>
      </c>
      <c r="C14" s="62" t="s">
        <v>149</v>
      </c>
      <c r="D14" s="189" t="s">
        <v>83</v>
      </c>
      <c r="E14" s="216" t="s">
        <v>511</v>
      </c>
      <c r="F14" s="231" t="s">
        <v>549</v>
      </c>
      <c r="G14" s="9" t="str">
        <f t="shared" si="1"/>
        <v>PARTICIPAR DO 1º FÓRUM DE DISCUSSÃO DA CGPAR RESOLUÇÕES Nº 22 E 23</v>
      </c>
      <c r="H14" s="9" t="s">
        <v>9</v>
      </c>
      <c r="I14" s="18">
        <v>43191</v>
      </c>
      <c r="J14" s="10">
        <v>19</v>
      </c>
      <c r="K14" s="11">
        <v>19</v>
      </c>
      <c r="L14" s="58">
        <v>0</v>
      </c>
      <c r="M14" s="58">
        <v>85.58</v>
      </c>
      <c r="N14" s="58">
        <v>0</v>
      </c>
      <c r="O14" s="54">
        <f>30+58+33</f>
        <v>121</v>
      </c>
      <c r="P14" s="14">
        <v>693.61</v>
      </c>
      <c r="Q14" s="137">
        <v>0</v>
      </c>
      <c r="R14" s="98">
        <f t="shared" si="0"/>
        <v>900.19</v>
      </c>
      <c r="S14" s="16"/>
      <c r="T14" s="16"/>
      <c r="U14" s="16"/>
      <c r="V14" s="16"/>
    </row>
    <row r="15" spans="2:36" s="17" customFormat="1" ht="33.75" x14ac:dyDescent="0.2">
      <c r="B15" s="99">
        <v>10</v>
      </c>
      <c r="C15" s="62" t="s">
        <v>150</v>
      </c>
      <c r="D15" s="189" t="s">
        <v>151</v>
      </c>
      <c r="E15" s="216" t="s">
        <v>572</v>
      </c>
      <c r="F15" s="193" t="s">
        <v>550</v>
      </c>
      <c r="G15" s="9" t="str">
        <f t="shared" si="1"/>
        <v>PARTICIPAR DO 1º FÓRUM DE DISCUSSÃO - RESOLUÇÕES CGPAR Nº 22 E Nº 23 NO MINISTÉRIO DO PLANEJAMENTO</v>
      </c>
      <c r="H15" s="9" t="s">
        <v>9</v>
      </c>
      <c r="I15" s="18">
        <v>43191</v>
      </c>
      <c r="J15" s="10">
        <v>19</v>
      </c>
      <c r="K15" s="11">
        <v>19</v>
      </c>
      <c r="L15" s="58">
        <v>62</v>
      </c>
      <c r="M15" s="58">
        <v>93.87</v>
      </c>
      <c r="N15" s="58">
        <v>0</v>
      </c>
      <c r="O15" s="54">
        <f>74+51</f>
        <v>125</v>
      </c>
      <c r="P15" s="14">
        <v>693.61</v>
      </c>
      <c r="Q15" s="137">
        <v>0</v>
      </c>
      <c r="R15" s="98">
        <f t="shared" si="0"/>
        <v>974.48</v>
      </c>
      <c r="S15" s="16"/>
      <c r="T15" s="16"/>
      <c r="U15" s="16"/>
      <c r="V15" s="16"/>
    </row>
    <row r="16" spans="2:36" s="17" customFormat="1" ht="33.75" x14ac:dyDescent="0.2">
      <c r="B16" s="99">
        <v>11</v>
      </c>
      <c r="C16" s="62" t="s">
        <v>152</v>
      </c>
      <c r="D16" s="189" t="s">
        <v>153</v>
      </c>
      <c r="E16" s="216" t="s">
        <v>562</v>
      </c>
      <c r="F16" s="193" t="s">
        <v>550</v>
      </c>
      <c r="G16" s="9" t="str">
        <f t="shared" si="1"/>
        <v>PARTICIPAR DO 1º FÓRUM DE DISCUSSÃO - RESOLUÇÕES CGPAR Nº 22 E Nº 23 NO MINISTÉRIO DO PLANEJAMENTO</v>
      </c>
      <c r="H16" s="9" t="s">
        <v>9</v>
      </c>
      <c r="I16" s="18">
        <v>43191</v>
      </c>
      <c r="J16" s="10">
        <v>19</v>
      </c>
      <c r="K16" s="11">
        <v>19</v>
      </c>
      <c r="L16" s="58">
        <v>0</v>
      </c>
      <c r="M16" s="58">
        <v>83.38</v>
      </c>
      <c r="N16" s="58">
        <v>0</v>
      </c>
      <c r="O16" s="54">
        <f>40+35</f>
        <v>75</v>
      </c>
      <c r="P16" s="14">
        <v>693.61</v>
      </c>
      <c r="Q16" s="137">
        <v>0</v>
      </c>
      <c r="R16" s="98">
        <f t="shared" si="0"/>
        <v>851.99</v>
      </c>
      <c r="S16" s="16"/>
      <c r="T16" s="16"/>
      <c r="U16" s="16"/>
      <c r="V16" s="16"/>
    </row>
    <row r="17" spans="2:22" s="17" customFormat="1" ht="24" customHeight="1" x14ac:dyDescent="0.2">
      <c r="B17" s="99">
        <v>12</v>
      </c>
      <c r="C17" s="62" t="s">
        <v>154</v>
      </c>
      <c r="D17" s="189" t="s">
        <v>155</v>
      </c>
      <c r="E17" s="216" t="s">
        <v>563</v>
      </c>
      <c r="F17" s="234" t="s">
        <v>551</v>
      </c>
      <c r="G17" s="9" t="str">
        <f t="shared" si="1"/>
        <v>PARTICIPAR DO 16º FÓRUM BRASILEIRO DE CONTRATAÇÃO E GESTÃO PÚBLICA</v>
      </c>
      <c r="H17" s="9" t="s">
        <v>9</v>
      </c>
      <c r="I17" s="18">
        <v>43192</v>
      </c>
      <c r="J17" s="10">
        <v>25</v>
      </c>
      <c r="K17" s="11">
        <v>27</v>
      </c>
      <c r="L17" s="58">
        <v>0</v>
      </c>
      <c r="M17" s="58">
        <v>0</v>
      </c>
      <c r="N17" s="58">
        <v>0</v>
      </c>
      <c r="O17" s="54">
        <f>34+60.63+45.55+49</f>
        <v>189.18</v>
      </c>
      <c r="P17" s="14">
        <f>1053.68+1063.03</f>
        <v>2116.71</v>
      </c>
      <c r="Q17" s="137">
        <f>877.8+354.1</f>
        <v>1231.9000000000001</v>
      </c>
      <c r="R17" s="98">
        <f t="shared" si="0"/>
        <v>3537.79</v>
      </c>
      <c r="S17" s="16"/>
      <c r="T17" s="16"/>
      <c r="U17" s="16"/>
      <c r="V17" s="16"/>
    </row>
    <row r="18" spans="2:22" s="17" customFormat="1" ht="24" customHeight="1" x14ac:dyDescent="0.2">
      <c r="B18" s="99">
        <v>13</v>
      </c>
      <c r="C18" s="62" t="s">
        <v>156</v>
      </c>
      <c r="D18" s="189" t="s">
        <v>72</v>
      </c>
      <c r="E18" s="216" t="s">
        <v>571</v>
      </c>
      <c r="F18" s="231" t="s">
        <v>551</v>
      </c>
      <c r="G18" s="9" t="str">
        <f t="shared" si="1"/>
        <v>PARTICIPAR DO 16º FÓRUM BRASILEIRO DE CONTRATAÇÃO E GESTÃO PÚBLICA</v>
      </c>
      <c r="H18" s="9" t="s">
        <v>9</v>
      </c>
      <c r="I18" s="18">
        <v>43192</v>
      </c>
      <c r="J18" s="10">
        <v>25</v>
      </c>
      <c r="K18" s="11">
        <v>27</v>
      </c>
      <c r="L18" s="58">
        <v>0</v>
      </c>
      <c r="M18" s="58">
        <v>0</v>
      </c>
      <c r="N18" s="58">
        <v>0</v>
      </c>
      <c r="O18" s="54">
        <f>72.5+52.7</f>
        <v>125.2</v>
      </c>
      <c r="P18" s="14">
        <f>1225.68+1207.03</f>
        <v>2432.71</v>
      </c>
      <c r="Q18" s="137">
        <f>877.8+297.5</f>
        <v>1175.3</v>
      </c>
      <c r="R18" s="98">
        <f t="shared" si="0"/>
        <v>3733.21</v>
      </c>
      <c r="S18" s="16"/>
      <c r="T18" s="16"/>
      <c r="U18" s="16"/>
      <c r="V18" s="16"/>
    </row>
    <row r="19" spans="2:22" s="17" customFormat="1" ht="12.75" x14ac:dyDescent="0.2">
      <c r="B19" s="99">
        <v>14</v>
      </c>
      <c r="C19" s="62" t="s">
        <v>157</v>
      </c>
      <c r="D19" s="189" t="s">
        <v>41</v>
      </c>
      <c r="E19" s="216" t="s">
        <v>564</v>
      </c>
      <c r="F19" s="232" t="s">
        <v>552</v>
      </c>
      <c r="G19" s="9" t="str">
        <f t="shared" si="1"/>
        <v>ENCONTRO DO COLÉGIO DE PROCURADORES 2018</v>
      </c>
      <c r="H19" s="9" t="s">
        <v>158</v>
      </c>
      <c r="I19" s="18">
        <v>43191</v>
      </c>
      <c r="J19" s="10">
        <v>25</v>
      </c>
      <c r="K19" s="11">
        <v>27</v>
      </c>
      <c r="L19" s="58">
        <v>117</v>
      </c>
      <c r="M19" s="58">
        <v>69.37</v>
      </c>
      <c r="N19" s="58">
        <v>0</v>
      </c>
      <c r="O19" s="54">
        <v>0</v>
      </c>
      <c r="P19" s="14">
        <f>984.78+1276.47</f>
        <v>2261.25</v>
      </c>
      <c r="Q19" s="137">
        <f>777+74.5</f>
        <v>851.5</v>
      </c>
      <c r="R19" s="98">
        <f t="shared" si="0"/>
        <v>3299.12</v>
      </c>
      <c r="S19" s="16"/>
      <c r="T19" s="16"/>
      <c r="U19" s="16"/>
      <c r="V19" s="16"/>
    </row>
    <row r="20" spans="2:22" s="17" customFormat="1" ht="22.5" x14ac:dyDescent="0.2">
      <c r="B20" s="99">
        <v>15</v>
      </c>
      <c r="C20" s="62" t="s">
        <v>159</v>
      </c>
      <c r="D20" s="189" t="s">
        <v>160</v>
      </c>
      <c r="E20" s="216" t="s">
        <v>565</v>
      </c>
      <c r="F20" s="193" t="s">
        <v>553</v>
      </c>
      <c r="G20" s="9" t="str">
        <f t="shared" si="1"/>
        <v>VISITA AO AMERICAS MEDICAL CITY PARA VISUALIZAR O SISTEMA DE CORREIO PNEUMÁTICO.</v>
      </c>
      <c r="H20" s="9" t="s">
        <v>161</v>
      </c>
      <c r="I20" s="18">
        <v>43191</v>
      </c>
      <c r="J20" s="10">
        <v>26</v>
      </c>
      <c r="K20" s="11">
        <v>26</v>
      </c>
      <c r="L20" s="58">
        <v>162</v>
      </c>
      <c r="M20" s="58">
        <v>92.5</v>
      </c>
      <c r="N20" s="58">
        <v>0</v>
      </c>
      <c r="O20" s="54">
        <v>0</v>
      </c>
      <c r="P20" s="14">
        <f>466.78+468.41</f>
        <v>935.19</v>
      </c>
      <c r="Q20" s="137">
        <v>0</v>
      </c>
      <c r="R20" s="98">
        <f t="shared" si="0"/>
        <v>1189.69</v>
      </c>
      <c r="S20" s="16"/>
      <c r="T20" s="16"/>
      <c r="U20" s="16"/>
      <c r="V20" s="16"/>
    </row>
    <row r="21" spans="2:22" s="17" customFormat="1" ht="22.5" x14ac:dyDescent="0.2">
      <c r="B21" s="99">
        <v>16</v>
      </c>
      <c r="C21" s="62" t="s">
        <v>162</v>
      </c>
      <c r="D21" s="189" t="s">
        <v>163</v>
      </c>
      <c r="E21" s="216" t="s">
        <v>566</v>
      </c>
      <c r="F21" s="193" t="s">
        <v>553</v>
      </c>
      <c r="G21" s="9" t="str">
        <f t="shared" si="1"/>
        <v>VISITA AO AMERICAS MEDICAL CITY PARA VISUALIZAR O SISTEMA DE CORREIO PNEUMÁTICO.</v>
      </c>
      <c r="H21" s="9" t="s">
        <v>161</v>
      </c>
      <c r="I21" s="18">
        <v>43191</v>
      </c>
      <c r="J21" s="10">
        <v>26</v>
      </c>
      <c r="K21" s="11">
        <v>26</v>
      </c>
      <c r="L21" s="58">
        <v>146.69999999999999</v>
      </c>
      <c r="M21" s="58">
        <v>55.4</v>
      </c>
      <c r="N21" s="58">
        <v>0</v>
      </c>
      <c r="O21" s="54">
        <v>0</v>
      </c>
      <c r="P21" s="14">
        <f>466.78+468.41</f>
        <v>935.19</v>
      </c>
      <c r="Q21" s="137">
        <v>0</v>
      </c>
      <c r="R21" s="98">
        <f t="shared" si="0"/>
        <v>1137.29</v>
      </c>
      <c r="S21" s="16"/>
      <c r="T21" s="16"/>
      <c r="U21" s="16"/>
      <c r="V21" s="16"/>
    </row>
    <row r="22" spans="2:22" s="17" customFormat="1" ht="22.5" x14ac:dyDescent="0.2">
      <c r="B22" s="99">
        <v>17</v>
      </c>
      <c r="C22" s="62" t="s">
        <v>164</v>
      </c>
      <c r="D22" s="189" t="s">
        <v>165</v>
      </c>
      <c r="E22" s="216" t="s">
        <v>567</v>
      </c>
      <c r="F22" s="193" t="s">
        <v>553</v>
      </c>
      <c r="G22" s="9" t="str">
        <f t="shared" si="1"/>
        <v>VISITA AO AMERICAS MEDICAL CITY PARA VISUALIZAR O SISTEMA DE CORREIO PNEUMÁTICO.</v>
      </c>
      <c r="H22" s="9" t="s">
        <v>161</v>
      </c>
      <c r="I22" s="18">
        <v>43191</v>
      </c>
      <c r="J22" s="10">
        <v>26</v>
      </c>
      <c r="K22" s="11">
        <v>26</v>
      </c>
      <c r="L22" s="58">
        <f>80+24</f>
        <v>104</v>
      </c>
      <c r="M22" s="58">
        <f>73.4</f>
        <v>73.400000000000006</v>
      </c>
      <c r="N22" s="58">
        <v>0</v>
      </c>
      <c r="O22" s="54">
        <v>0</v>
      </c>
      <c r="P22" s="14">
        <f>466.78+468.41</f>
        <v>935.19</v>
      </c>
      <c r="Q22" s="137">
        <v>0</v>
      </c>
      <c r="R22" s="98">
        <f t="shared" si="0"/>
        <v>1112.5900000000001</v>
      </c>
      <c r="S22" s="16"/>
      <c r="T22" s="16"/>
      <c r="U22" s="16"/>
      <c r="V22" s="16"/>
    </row>
    <row r="23" spans="2:22" s="17" customFormat="1" ht="60" customHeight="1" x14ac:dyDescent="0.2">
      <c r="B23" s="99">
        <v>18</v>
      </c>
      <c r="C23" s="62" t="s">
        <v>166</v>
      </c>
      <c r="D23" s="189" t="s">
        <v>167</v>
      </c>
      <c r="E23" s="216" t="s">
        <v>568</v>
      </c>
      <c r="F23" s="234" t="s">
        <v>554</v>
      </c>
      <c r="G23" s="9" t="str">
        <f t="shared" si="1"/>
        <v>PARTICIPAÇÃO NO WORLD CONGRESS ON MEDICAL PHYSICS AND BIOMEDICAL ENGINEERING 2018 NA CIDADE DE PRAGA DURANTE O PERÍODO DE 01/06/2018 A 10/06/2018. CONFORME PREVISTO NO PROJETO FINEP NEUROENG.</v>
      </c>
      <c r="H23" s="9" t="s">
        <v>168</v>
      </c>
      <c r="I23" s="18">
        <v>43252</v>
      </c>
      <c r="J23" s="10">
        <v>1</v>
      </c>
      <c r="K23" s="11">
        <v>10</v>
      </c>
      <c r="L23" s="58">
        <v>0</v>
      </c>
      <c r="M23" s="58">
        <v>0</v>
      </c>
      <c r="N23" s="58">
        <v>0</v>
      </c>
      <c r="O23" s="54">
        <v>0</v>
      </c>
      <c r="P23" s="14">
        <f>4931.96+181.05</f>
        <v>5113.01</v>
      </c>
      <c r="Q23" s="137">
        <v>5986.24</v>
      </c>
      <c r="R23" s="98">
        <f t="shared" si="0"/>
        <v>11099.25</v>
      </c>
      <c r="S23" s="16"/>
      <c r="T23" s="16"/>
      <c r="U23" s="16"/>
      <c r="V23" s="16"/>
    </row>
    <row r="24" spans="2:22" s="17" customFormat="1" ht="59.25" customHeight="1" x14ac:dyDescent="0.2">
      <c r="B24" s="99">
        <v>19</v>
      </c>
      <c r="C24" s="62" t="s">
        <v>169</v>
      </c>
      <c r="D24" s="189" t="s">
        <v>170</v>
      </c>
      <c r="E24" s="216" t="s">
        <v>569</v>
      </c>
      <c r="F24" s="231" t="s">
        <v>554</v>
      </c>
      <c r="G24" s="9" t="str">
        <f t="shared" si="1"/>
        <v>PARTICIPAÇÃO NO WORLD CONGRESS ON MEDICAL PHYSICS AND BIOMEDICAL ENGINEERING 2018 NA CIDADE DE PRAGA DURANTE O PERÍODO DE 01/06/2018 A 10/06/2018. CONFORME PREVISTO NO PROJETO FINEP NEUROENG.</v>
      </c>
      <c r="H24" s="9" t="s">
        <v>168</v>
      </c>
      <c r="I24" s="18">
        <v>43252</v>
      </c>
      <c r="J24" s="10">
        <v>1</v>
      </c>
      <c r="K24" s="11">
        <v>10</v>
      </c>
      <c r="L24" s="58">
        <v>0</v>
      </c>
      <c r="M24" s="58">
        <v>0</v>
      </c>
      <c r="N24" s="58">
        <v>0</v>
      </c>
      <c r="O24" s="54">
        <v>0</v>
      </c>
      <c r="P24" s="14">
        <f>4931.96+181.05</f>
        <v>5113.01</v>
      </c>
      <c r="Q24" s="137">
        <f>6217.17/2</f>
        <v>3108.585</v>
      </c>
      <c r="R24" s="98">
        <f t="shared" si="0"/>
        <v>8221.5950000000012</v>
      </c>
      <c r="S24" s="16"/>
      <c r="T24" s="16"/>
      <c r="U24" s="16"/>
      <c r="V24" s="16"/>
    </row>
    <row r="25" spans="2:22" s="17" customFormat="1" ht="57.75" customHeight="1" x14ac:dyDescent="0.2">
      <c r="B25" s="99">
        <v>20</v>
      </c>
      <c r="C25" s="62" t="s">
        <v>171</v>
      </c>
      <c r="D25" s="189" t="s">
        <v>172</v>
      </c>
      <c r="E25" s="216" t="s">
        <v>569</v>
      </c>
      <c r="F25" s="231" t="s">
        <v>554</v>
      </c>
      <c r="G25" s="9" t="str">
        <f t="shared" si="1"/>
        <v>PARTICIPAÇÃO NO WORLD CONGRESS ON MEDICAL PHYSICS AND BIOMEDICAL ENGINEERING 2018 NA CIDADE DE PRAGA DURANTE O PERÍODO DE 01/06/2018 A 10/06/2018. CONFORME PREVISTO NO PROJETO FINEP NEUROENG.</v>
      </c>
      <c r="H25" s="9" t="s">
        <v>168</v>
      </c>
      <c r="I25" s="18">
        <v>43252</v>
      </c>
      <c r="J25" s="10">
        <v>1</v>
      </c>
      <c r="K25" s="11">
        <v>10</v>
      </c>
      <c r="L25" s="58">
        <v>0</v>
      </c>
      <c r="M25" s="58">
        <v>0</v>
      </c>
      <c r="N25" s="58">
        <v>0</v>
      </c>
      <c r="O25" s="54">
        <v>0</v>
      </c>
      <c r="P25" s="14">
        <f>4931.96+181.05</f>
        <v>5113.01</v>
      </c>
      <c r="Q25" s="137">
        <f>6217.17/2</f>
        <v>3108.585</v>
      </c>
      <c r="R25" s="98">
        <f t="shared" si="0"/>
        <v>8221.5950000000012</v>
      </c>
      <c r="S25" s="16"/>
      <c r="T25" s="16"/>
      <c r="U25" s="16"/>
      <c r="V25" s="16"/>
    </row>
    <row r="26" spans="2:22" s="17" customFormat="1" ht="27" customHeight="1" x14ac:dyDescent="0.2">
      <c r="B26" s="99">
        <v>21</v>
      </c>
      <c r="C26" s="62" t="s">
        <v>173</v>
      </c>
      <c r="D26" s="189" t="s">
        <v>15</v>
      </c>
      <c r="E26" s="9" t="s">
        <v>561</v>
      </c>
      <c r="F26" s="233" t="s">
        <v>555</v>
      </c>
      <c r="G26" s="9" t="str">
        <f t="shared" si="1"/>
        <v>REUNIÃO: COMISSÃO NACIONAL DE RESIDÊNCIA MÉDICA</v>
      </c>
      <c r="H26" s="9" t="s">
        <v>9</v>
      </c>
      <c r="I26" s="18">
        <v>43221</v>
      </c>
      <c r="J26" s="10">
        <v>3</v>
      </c>
      <c r="K26" s="11">
        <v>3</v>
      </c>
      <c r="L26" s="58">
        <v>35</v>
      </c>
      <c r="M26" s="58">
        <v>72.900000000000006</v>
      </c>
      <c r="N26" s="58">
        <v>0</v>
      </c>
      <c r="O26" s="54">
        <f>27+42+18+51</f>
        <v>138</v>
      </c>
      <c r="P26" s="14">
        <f>1378.71</f>
        <v>1378.71</v>
      </c>
      <c r="Q26" s="137">
        <v>0</v>
      </c>
      <c r="R26" s="98">
        <f t="shared" si="0"/>
        <v>1624.6100000000001</v>
      </c>
      <c r="S26" s="16"/>
      <c r="T26" s="16"/>
      <c r="U26" s="16"/>
      <c r="V26" s="16"/>
    </row>
    <row r="27" spans="2:22" s="17" customFormat="1" ht="38.25" customHeight="1" thickBot="1" x14ac:dyDescent="0.25">
      <c r="B27" s="100">
        <v>22</v>
      </c>
      <c r="C27" s="135" t="s">
        <v>174</v>
      </c>
      <c r="D27" s="191" t="s">
        <v>175</v>
      </c>
      <c r="E27" s="235" t="s">
        <v>570</v>
      </c>
      <c r="F27" s="196" t="s">
        <v>556</v>
      </c>
      <c r="G27" s="102" t="str">
        <f t="shared" si="1"/>
        <v>PARTICIPAR DE CURSO OBRIGATÓRIO DE GESTÃO E APURAÇÃO DA ÉTICA PÚBLICA PARA MEMBRO DA COMISSÃO DE ÉTICA PÚBLICA DO HCPA</v>
      </c>
      <c r="H27" s="102" t="s">
        <v>9</v>
      </c>
      <c r="I27" s="103">
        <v>43222</v>
      </c>
      <c r="J27" s="104">
        <v>13</v>
      </c>
      <c r="K27" s="105">
        <v>16</v>
      </c>
      <c r="L27" s="149">
        <v>163</v>
      </c>
      <c r="M27" s="149">
        <v>90.76</v>
      </c>
      <c r="N27" s="149">
        <v>0</v>
      </c>
      <c r="O27" s="106">
        <v>0</v>
      </c>
      <c r="P27" s="107">
        <f>1697.68+398.03</f>
        <v>2095.71</v>
      </c>
      <c r="Q27" s="138">
        <f>893.55+157.08</f>
        <v>1050.6299999999999</v>
      </c>
      <c r="R27" s="109">
        <f t="shared" si="0"/>
        <v>3400.1000000000004</v>
      </c>
      <c r="S27" s="16"/>
      <c r="T27" s="16"/>
      <c r="U27" s="16"/>
      <c r="V27" s="16"/>
    </row>
    <row r="28" spans="2:22" s="16" customFormat="1" ht="12" x14ac:dyDescent="0.2">
      <c r="B28" s="20"/>
      <c r="C28" s="21"/>
      <c r="D28" s="22"/>
      <c r="E28" s="22"/>
      <c r="F28" s="22"/>
      <c r="G28" s="22"/>
      <c r="H28" s="22"/>
      <c r="I28" s="23"/>
      <c r="J28" s="24"/>
      <c r="K28" s="25"/>
      <c r="L28" s="26"/>
      <c r="M28" s="26"/>
      <c r="N28" s="26"/>
      <c r="O28" s="27"/>
      <c r="P28" s="28"/>
      <c r="Q28" s="29"/>
      <c r="R28" s="30"/>
    </row>
    <row r="29" spans="2:22" s="31" customFormat="1" ht="15.75" x14ac:dyDescent="0.2">
      <c r="C29" s="32"/>
      <c r="D29" s="32"/>
      <c r="E29" s="32"/>
      <c r="F29" s="32"/>
      <c r="G29" s="32"/>
      <c r="H29" s="34"/>
      <c r="I29" s="32"/>
      <c r="J29" s="20"/>
      <c r="K29" s="33"/>
      <c r="L29" s="36">
        <f t="shared" ref="L29:Q29" si="2">SUM(L6:L27)</f>
        <v>817.7</v>
      </c>
      <c r="M29" s="36">
        <f t="shared" si="2"/>
        <v>1036.72</v>
      </c>
      <c r="N29" s="36">
        <f t="shared" si="2"/>
        <v>0</v>
      </c>
      <c r="O29" s="133">
        <f t="shared" si="2"/>
        <v>1079.8900000000001</v>
      </c>
      <c r="P29" s="38">
        <f t="shared" si="2"/>
        <v>42154.37</v>
      </c>
      <c r="Q29" s="39">
        <f t="shared" si="2"/>
        <v>18156.22</v>
      </c>
      <c r="R29" s="37">
        <f>SUM(R6:R27)+O30</f>
        <v>63255.698900000003</v>
      </c>
    </row>
    <row r="30" spans="2:22" s="40" customFormat="1" ht="16.5" thickBot="1" x14ac:dyDescent="0.3">
      <c r="C30" s="41"/>
      <c r="D30" s="288"/>
      <c r="E30" s="288"/>
      <c r="F30" s="288"/>
      <c r="G30" s="288"/>
      <c r="H30" s="288"/>
      <c r="I30" s="288"/>
      <c r="J30" s="288"/>
      <c r="K30" s="42"/>
      <c r="L30" s="43"/>
      <c r="M30" s="43"/>
      <c r="N30" s="91" t="s">
        <v>315</v>
      </c>
      <c r="O30" s="27">
        <f>O29*1%</f>
        <v>10.798900000000001</v>
      </c>
      <c r="R30" s="44"/>
    </row>
    <row r="31" spans="2:22" s="40" customFormat="1" ht="16.5" thickBot="1" x14ac:dyDescent="0.3">
      <c r="C31" s="41"/>
      <c r="D31" s="41"/>
      <c r="E31" s="41"/>
      <c r="F31" s="41"/>
      <c r="G31" s="41"/>
      <c r="H31" s="45"/>
      <c r="I31" s="41"/>
      <c r="J31" s="41"/>
      <c r="K31" s="42"/>
      <c r="L31" s="43"/>
      <c r="M31" s="43"/>
      <c r="N31" s="43"/>
      <c r="O31" s="93">
        <f>O29+O30</f>
        <v>1090.6889000000001</v>
      </c>
      <c r="P31" s="46"/>
      <c r="Q31" s="44"/>
      <c r="R31" s="47" t="s">
        <v>50</v>
      </c>
    </row>
    <row r="32" spans="2:22" s="40" customFormat="1" x14ac:dyDescent="0.2">
      <c r="C32" s="41"/>
      <c r="D32" s="289"/>
      <c r="E32" s="289"/>
      <c r="F32" s="289"/>
      <c r="G32" s="289"/>
      <c r="H32" s="289"/>
      <c r="I32" s="289"/>
      <c r="J32" s="289"/>
      <c r="K32" s="42"/>
      <c r="L32" s="43"/>
      <c r="M32" s="43"/>
      <c r="N32" s="43"/>
      <c r="O32" s="27"/>
      <c r="P32" s="5" t="s">
        <v>49</v>
      </c>
      <c r="Q32" s="167">
        <f>L29+M29+N29+O31+P29+Q29</f>
        <v>63255.698900000003</v>
      </c>
      <c r="R32" s="48">
        <f>R29-Q32</f>
        <v>0</v>
      </c>
    </row>
    <row r="33" spans="3:18" ht="15.75" x14ac:dyDescent="0.25">
      <c r="C33" s="49"/>
      <c r="D33" s="50"/>
      <c r="E33" s="50"/>
      <c r="F33" s="50"/>
      <c r="G33" s="50"/>
      <c r="H33" s="51"/>
      <c r="I33" s="52"/>
      <c r="J33" s="52"/>
      <c r="K33" s="52"/>
      <c r="N33" s="91" t="s">
        <v>315</v>
      </c>
      <c r="O33" s="27" t="s">
        <v>316</v>
      </c>
    </row>
    <row r="34" spans="3:18" x14ac:dyDescent="0.25">
      <c r="C34" s="49"/>
      <c r="D34" s="50"/>
      <c r="E34" s="50"/>
      <c r="F34" s="50"/>
      <c r="G34" s="50"/>
      <c r="H34" s="51"/>
      <c r="I34" s="52"/>
      <c r="J34" s="52"/>
      <c r="K34" s="52"/>
      <c r="O34" s="27"/>
    </row>
    <row r="35" spans="3:18" x14ac:dyDescent="0.25">
      <c r="C35" s="49"/>
      <c r="D35" s="50"/>
      <c r="E35" s="50"/>
      <c r="F35" s="50"/>
      <c r="G35" s="50"/>
      <c r="H35" s="51"/>
      <c r="I35" s="52"/>
      <c r="J35" s="52"/>
      <c r="K35" s="52"/>
      <c r="O35" s="27"/>
    </row>
    <row r="36" spans="3:18" x14ac:dyDescent="0.25">
      <c r="C36" s="49"/>
      <c r="D36" s="50"/>
      <c r="E36" s="50"/>
      <c r="F36" s="50"/>
      <c r="G36" s="50"/>
      <c r="H36" s="51"/>
      <c r="I36" s="52"/>
      <c r="J36" s="52"/>
      <c r="K36" s="52"/>
      <c r="O36" s="27"/>
    </row>
    <row r="37" spans="3:18" x14ac:dyDescent="0.25">
      <c r="C37" s="49"/>
      <c r="D37" s="50"/>
      <c r="E37" s="50"/>
      <c r="F37" s="50"/>
      <c r="G37" s="50"/>
      <c r="H37" s="51"/>
      <c r="I37" s="52"/>
      <c r="J37" s="52"/>
      <c r="K37" s="52"/>
      <c r="O37" s="27"/>
    </row>
    <row r="38" spans="3:18" x14ac:dyDescent="0.25">
      <c r="C38" s="49"/>
      <c r="D38" s="50"/>
      <c r="E38" s="50"/>
      <c r="F38" s="50"/>
      <c r="G38" s="50"/>
      <c r="H38" s="51"/>
      <c r="I38" s="52"/>
      <c r="J38" s="52"/>
      <c r="K38" s="52"/>
      <c r="O38" s="27"/>
    </row>
    <row r="39" spans="3:18" x14ac:dyDescent="0.25">
      <c r="C39" s="49"/>
      <c r="D39" s="50"/>
      <c r="E39" s="50"/>
      <c r="F39" s="50"/>
      <c r="G39" s="50"/>
      <c r="H39" s="51"/>
      <c r="I39" s="52"/>
      <c r="J39" s="52"/>
      <c r="K39" s="52"/>
      <c r="O39" s="27"/>
    </row>
    <row r="40" spans="3:18" x14ac:dyDescent="0.25">
      <c r="C40" s="49"/>
      <c r="D40" s="50"/>
      <c r="E40" s="50"/>
      <c r="F40" s="50"/>
      <c r="G40" s="50"/>
      <c r="H40" s="51"/>
      <c r="I40" s="52"/>
      <c r="J40" s="52"/>
      <c r="K40" s="52"/>
      <c r="O40" s="27"/>
    </row>
    <row r="41" spans="3:18" x14ac:dyDescent="0.25">
      <c r="C41" s="49"/>
      <c r="H41" s="51"/>
      <c r="I41" s="52"/>
      <c r="J41" s="52"/>
      <c r="K41" s="52"/>
      <c r="O41" s="27"/>
    </row>
    <row r="42" spans="3:18" x14ac:dyDescent="0.25">
      <c r="C42" s="49"/>
      <c r="D42" s="50"/>
      <c r="E42" s="50"/>
      <c r="F42" s="50"/>
      <c r="G42" s="50"/>
      <c r="H42" s="51"/>
      <c r="I42" s="52"/>
      <c r="J42" s="52"/>
      <c r="K42" s="52"/>
      <c r="O42" s="27"/>
    </row>
    <row r="43" spans="3:18" x14ac:dyDescent="0.25">
      <c r="C43" s="49"/>
      <c r="D43" s="50"/>
      <c r="E43" s="50"/>
      <c r="F43" s="50"/>
      <c r="G43" s="50"/>
      <c r="H43" s="51"/>
      <c r="I43" s="52"/>
      <c r="J43" s="52"/>
      <c r="K43" s="52"/>
      <c r="O43" s="53"/>
    </row>
    <row r="44" spans="3:18" ht="15.75" x14ac:dyDescent="0.25">
      <c r="C44" s="49"/>
      <c r="D44" s="50"/>
      <c r="E44" s="50"/>
      <c r="F44" s="50"/>
      <c r="G44" s="50"/>
      <c r="H44" s="51"/>
      <c r="I44" s="52"/>
      <c r="J44" s="52"/>
      <c r="K44" s="52"/>
      <c r="O44" s="40"/>
      <c r="P44"/>
      <c r="Q44"/>
      <c r="R44"/>
    </row>
    <row r="45" spans="3:18" ht="15.75" x14ac:dyDescent="0.25">
      <c r="C45" s="49"/>
      <c r="D45" s="50"/>
      <c r="E45" s="50"/>
      <c r="F45" s="50"/>
      <c r="G45" s="50"/>
      <c r="H45" s="51"/>
      <c r="I45" s="52"/>
      <c r="J45" s="52"/>
      <c r="K45" s="52"/>
      <c r="O45" s="40"/>
      <c r="P45"/>
      <c r="Q45"/>
      <c r="R45"/>
    </row>
    <row r="46" spans="3:18" ht="15.75" x14ac:dyDescent="0.25">
      <c r="C46" s="49"/>
      <c r="D46" s="50"/>
      <c r="E46" s="50"/>
      <c r="F46" s="50"/>
      <c r="G46" s="50"/>
      <c r="H46" s="51"/>
      <c r="I46" s="52"/>
      <c r="J46" s="52"/>
      <c r="K46" s="52"/>
      <c r="O46" s="40"/>
      <c r="P46"/>
      <c r="Q46"/>
      <c r="R46"/>
    </row>
    <row r="47" spans="3:18" x14ac:dyDescent="0.25">
      <c r="C47" s="49"/>
      <c r="D47" s="50"/>
      <c r="E47" s="50"/>
      <c r="F47" s="50"/>
      <c r="G47" s="50"/>
      <c r="H47" s="51"/>
      <c r="I47" s="52"/>
      <c r="J47" s="52"/>
      <c r="K47" s="52"/>
      <c r="P47"/>
      <c r="Q47"/>
      <c r="R47"/>
    </row>
    <row r="48" spans="3:18" x14ac:dyDescent="0.25">
      <c r="C48" s="49"/>
      <c r="D48" s="50"/>
      <c r="E48" s="50"/>
      <c r="F48" s="50"/>
      <c r="G48" s="50"/>
      <c r="H48" s="51"/>
      <c r="I48" s="52"/>
      <c r="J48" s="52"/>
      <c r="K48" s="52"/>
      <c r="P48"/>
      <c r="Q48"/>
      <c r="R48"/>
    </row>
    <row r="49" spans="3:18" x14ac:dyDescent="0.25">
      <c r="C49" s="49"/>
      <c r="D49" s="50"/>
      <c r="E49" s="50"/>
      <c r="F49" s="50"/>
      <c r="G49" s="50"/>
      <c r="H49" s="51"/>
      <c r="I49" s="52"/>
      <c r="J49" s="52"/>
      <c r="K49" s="52"/>
      <c r="P49"/>
      <c r="Q49"/>
      <c r="R49"/>
    </row>
    <row r="50" spans="3:18" x14ac:dyDescent="0.25">
      <c r="C50" s="49"/>
      <c r="D50" s="50"/>
      <c r="E50" s="50"/>
      <c r="F50" s="50"/>
      <c r="G50" s="50"/>
      <c r="H50" s="51"/>
      <c r="I50" s="52"/>
      <c r="J50" s="52"/>
      <c r="K50" s="52"/>
      <c r="P50"/>
      <c r="Q50"/>
      <c r="R50"/>
    </row>
    <row r="51" spans="3:18" x14ac:dyDescent="0.25">
      <c r="C51" s="49"/>
      <c r="D51" s="50"/>
      <c r="E51" s="50"/>
      <c r="F51" s="50"/>
      <c r="G51" s="50"/>
      <c r="H51" s="51"/>
      <c r="I51" s="52"/>
      <c r="J51" s="52"/>
      <c r="K51" s="52"/>
      <c r="P51"/>
      <c r="Q51"/>
      <c r="R51"/>
    </row>
    <row r="52" spans="3:18" x14ac:dyDescent="0.25">
      <c r="C52" s="49"/>
      <c r="D52" s="50"/>
      <c r="E52" s="50"/>
      <c r="F52" s="50"/>
      <c r="G52" s="50"/>
      <c r="H52" s="51"/>
      <c r="I52" s="52"/>
      <c r="J52" s="52"/>
      <c r="K52" s="52"/>
      <c r="P52"/>
      <c r="Q52"/>
      <c r="R52"/>
    </row>
    <row r="53" spans="3:18" x14ac:dyDescent="0.25">
      <c r="C53" s="49"/>
      <c r="D53" s="50"/>
      <c r="E53" s="50"/>
      <c r="F53" s="50"/>
      <c r="G53" s="50"/>
      <c r="H53" s="51"/>
      <c r="I53" s="52"/>
      <c r="J53" s="52"/>
      <c r="K53" s="52"/>
      <c r="P53"/>
      <c r="Q53"/>
      <c r="R53"/>
    </row>
    <row r="54" spans="3:18" x14ac:dyDescent="0.25">
      <c r="C54" s="49"/>
      <c r="D54" s="50"/>
      <c r="E54" s="50"/>
      <c r="F54" s="50"/>
      <c r="G54" s="50"/>
      <c r="H54" s="51"/>
      <c r="I54" s="52"/>
      <c r="J54" s="52"/>
      <c r="K54" s="52"/>
      <c r="P54"/>
      <c r="Q54"/>
      <c r="R54"/>
    </row>
    <row r="55" spans="3:18" x14ac:dyDescent="0.25">
      <c r="C55" s="49"/>
      <c r="D55" s="50"/>
      <c r="E55" s="50"/>
      <c r="F55" s="50"/>
      <c r="G55" s="50"/>
      <c r="H55" s="51"/>
      <c r="I55" s="52"/>
      <c r="J55" s="52"/>
      <c r="K55" s="52"/>
      <c r="P55"/>
      <c r="Q55"/>
      <c r="R55"/>
    </row>
    <row r="56" spans="3:18" x14ac:dyDescent="0.25">
      <c r="C56" s="49"/>
      <c r="D56" s="50"/>
      <c r="E56" s="50"/>
      <c r="F56" s="50"/>
      <c r="G56" s="50"/>
      <c r="H56" s="51"/>
      <c r="I56" s="52"/>
      <c r="J56" s="52"/>
      <c r="K56" s="52"/>
      <c r="P56"/>
      <c r="Q56"/>
      <c r="R56"/>
    </row>
    <row r="57" spans="3:18" x14ac:dyDescent="0.25">
      <c r="C57" s="49"/>
      <c r="D57" s="50"/>
      <c r="E57" s="50"/>
      <c r="F57" s="50"/>
      <c r="G57" s="50"/>
      <c r="H57" s="51"/>
      <c r="I57" s="52"/>
      <c r="J57" s="52"/>
      <c r="K57" s="52"/>
      <c r="P57"/>
      <c r="Q57"/>
      <c r="R57"/>
    </row>
    <row r="58" spans="3:18" x14ac:dyDescent="0.25">
      <c r="C58" s="49"/>
      <c r="D58" s="50"/>
      <c r="E58" s="50"/>
      <c r="F58" s="50"/>
      <c r="G58" s="50"/>
      <c r="H58" s="51"/>
      <c r="I58" s="52"/>
      <c r="J58" s="52"/>
      <c r="K58" s="52"/>
      <c r="P58"/>
      <c r="Q58"/>
      <c r="R58"/>
    </row>
    <row r="59" spans="3:18" x14ac:dyDescent="0.25">
      <c r="C59" s="49"/>
      <c r="D59" s="50"/>
      <c r="E59" s="50"/>
      <c r="F59" s="50"/>
      <c r="G59" s="50"/>
      <c r="H59" s="51"/>
      <c r="I59" s="52"/>
      <c r="J59" s="52"/>
      <c r="K59" s="52"/>
      <c r="P59"/>
      <c r="Q59"/>
      <c r="R59"/>
    </row>
    <row r="60" spans="3:18" x14ac:dyDescent="0.25">
      <c r="C60" s="49"/>
      <c r="D60" s="50"/>
      <c r="E60" s="50"/>
      <c r="F60" s="50"/>
      <c r="G60" s="50"/>
      <c r="H60" s="51"/>
      <c r="I60" s="52"/>
      <c r="J60" s="52"/>
      <c r="K60" s="52"/>
      <c r="L60"/>
      <c r="M60"/>
      <c r="N60"/>
      <c r="P60"/>
      <c r="Q60"/>
      <c r="R60"/>
    </row>
    <row r="61" spans="3:18" x14ac:dyDescent="0.25">
      <c r="C61" s="49"/>
      <c r="D61" s="50"/>
      <c r="E61" s="50"/>
      <c r="F61" s="50"/>
      <c r="G61" s="50"/>
      <c r="H61" s="51"/>
      <c r="I61" s="52"/>
      <c r="J61" s="52"/>
      <c r="K61" s="52"/>
      <c r="L61"/>
      <c r="M61"/>
      <c r="N61"/>
      <c r="P61"/>
      <c r="Q61"/>
      <c r="R61"/>
    </row>
    <row r="62" spans="3:18" x14ac:dyDescent="0.25">
      <c r="C62" s="49"/>
      <c r="D62" s="50"/>
      <c r="E62" s="50"/>
      <c r="F62" s="50"/>
      <c r="G62" s="50"/>
      <c r="H62" s="51"/>
      <c r="I62" s="52"/>
      <c r="J62" s="52"/>
      <c r="K62" s="52"/>
      <c r="L62"/>
      <c r="M62"/>
      <c r="N62"/>
      <c r="P62"/>
      <c r="Q62"/>
      <c r="R62"/>
    </row>
    <row r="63" spans="3:18" x14ac:dyDescent="0.25">
      <c r="C63" s="49"/>
      <c r="D63" s="50"/>
      <c r="E63" s="50"/>
      <c r="F63" s="50"/>
      <c r="G63" s="50"/>
      <c r="H63" s="51"/>
      <c r="I63" s="52"/>
      <c r="J63" s="52"/>
      <c r="K63" s="52"/>
      <c r="L63"/>
      <c r="M63"/>
      <c r="N63"/>
      <c r="P63"/>
      <c r="Q63"/>
      <c r="R63"/>
    </row>
    <row r="64" spans="3:18" x14ac:dyDescent="0.25">
      <c r="C64" s="49"/>
      <c r="D64" s="50"/>
      <c r="E64" s="50"/>
      <c r="F64" s="50"/>
      <c r="G64" s="50"/>
      <c r="H64" s="51"/>
      <c r="I64" s="52"/>
      <c r="J64" s="52"/>
      <c r="K64" s="52"/>
      <c r="L64"/>
      <c r="M64"/>
      <c r="N64"/>
      <c r="P64"/>
      <c r="Q64"/>
      <c r="R64"/>
    </row>
    <row r="65" spans="3:18" x14ac:dyDescent="0.25">
      <c r="C65" s="49"/>
      <c r="D65" s="50"/>
      <c r="E65" s="50"/>
      <c r="F65" s="50"/>
      <c r="G65" s="50"/>
      <c r="H65" s="51"/>
      <c r="I65" s="52"/>
      <c r="J65" s="52"/>
      <c r="K65" s="52"/>
      <c r="L65"/>
      <c r="M65"/>
      <c r="N65"/>
      <c r="P65"/>
      <c r="Q65"/>
      <c r="R65"/>
    </row>
    <row r="66" spans="3:18" x14ac:dyDescent="0.25">
      <c r="C66" s="49"/>
      <c r="D66" s="50"/>
      <c r="E66" s="50"/>
      <c r="F66" s="50"/>
      <c r="G66" s="50"/>
      <c r="H66" s="51"/>
      <c r="I66" s="52"/>
      <c r="J66" s="52"/>
      <c r="K66" s="52"/>
      <c r="L66"/>
      <c r="M66"/>
      <c r="N66"/>
      <c r="P66"/>
      <c r="Q66"/>
      <c r="R66"/>
    </row>
    <row r="67" spans="3:18" x14ac:dyDescent="0.25">
      <c r="C67" s="49"/>
      <c r="D67" s="50"/>
      <c r="E67" s="50"/>
      <c r="F67" s="50"/>
      <c r="G67" s="50"/>
      <c r="H67" s="51"/>
      <c r="I67" s="52"/>
      <c r="J67" s="52"/>
      <c r="K67" s="52"/>
      <c r="L67"/>
      <c r="M67"/>
      <c r="N67"/>
      <c r="P67"/>
      <c r="Q67"/>
      <c r="R67"/>
    </row>
    <row r="68" spans="3:18" x14ac:dyDescent="0.25">
      <c r="C68" s="49"/>
      <c r="D68" s="50"/>
      <c r="E68" s="50"/>
      <c r="F68" s="50"/>
      <c r="G68" s="50"/>
      <c r="H68" s="51"/>
      <c r="I68" s="52"/>
      <c r="J68" s="52"/>
      <c r="K68" s="52"/>
      <c r="L68"/>
      <c r="M68"/>
      <c r="N68"/>
      <c r="P68"/>
      <c r="Q68"/>
      <c r="R68"/>
    </row>
    <row r="69" spans="3:18" x14ac:dyDescent="0.25">
      <c r="C69" s="49"/>
      <c r="D69" s="50"/>
      <c r="E69" s="50"/>
      <c r="F69" s="50"/>
      <c r="G69" s="50"/>
      <c r="H69" s="51"/>
      <c r="I69" s="52"/>
      <c r="J69" s="52"/>
      <c r="K69" s="52"/>
      <c r="L69"/>
      <c r="M69"/>
      <c r="N69"/>
      <c r="P69"/>
      <c r="Q69"/>
      <c r="R69"/>
    </row>
    <row r="70" spans="3:18" x14ac:dyDescent="0.25">
      <c r="C70" s="49"/>
      <c r="D70" s="50"/>
      <c r="E70" s="50"/>
      <c r="F70" s="50"/>
      <c r="G70" s="50"/>
      <c r="H70" s="51"/>
      <c r="I70" s="52"/>
      <c r="J70" s="52"/>
      <c r="K70" s="52"/>
      <c r="L70"/>
      <c r="M70"/>
      <c r="N70"/>
      <c r="P70"/>
      <c r="Q70"/>
      <c r="R70"/>
    </row>
    <row r="71" spans="3:18" x14ac:dyDescent="0.25">
      <c r="C71" s="49"/>
      <c r="D71" s="50"/>
      <c r="E71" s="50"/>
      <c r="F71" s="50"/>
      <c r="G71" s="50"/>
      <c r="H71" s="51"/>
      <c r="I71" s="52"/>
      <c r="J71" s="52"/>
      <c r="K71" s="52"/>
      <c r="L71"/>
      <c r="M71"/>
      <c r="N71"/>
      <c r="P71"/>
      <c r="Q71"/>
      <c r="R71"/>
    </row>
    <row r="72" spans="3:18" x14ac:dyDescent="0.25">
      <c r="C72" s="49"/>
      <c r="D72" s="50"/>
      <c r="E72" s="50"/>
      <c r="F72" s="50"/>
      <c r="G72" s="50"/>
      <c r="H72" s="51"/>
      <c r="I72" s="52"/>
      <c r="J72" s="52"/>
      <c r="K72" s="52"/>
      <c r="L72"/>
      <c r="M72"/>
      <c r="N72"/>
      <c r="P72"/>
      <c r="Q72"/>
      <c r="R72"/>
    </row>
    <row r="73" spans="3:18" x14ac:dyDescent="0.25">
      <c r="C73" s="49"/>
      <c r="D73" s="50"/>
      <c r="E73" s="50"/>
      <c r="F73" s="50"/>
      <c r="G73" s="50"/>
      <c r="H73" s="51"/>
      <c r="I73" s="52"/>
      <c r="J73" s="52"/>
      <c r="K73" s="52"/>
      <c r="L73"/>
      <c r="M73"/>
      <c r="N73"/>
      <c r="P73"/>
      <c r="Q73"/>
      <c r="R73"/>
    </row>
    <row r="74" spans="3:18" x14ac:dyDescent="0.25">
      <c r="C74" s="49"/>
      <c r="D74" s="50"/>
      <c r="E74" s="50"/>
      <c r="F74" s="50"/>
      <c r="G74" s="50"/>
      <c r="H74" s="51"/>
      <c r="I74" s="52"/>
      <c r="J74" s="52"/>
      <c r="K74" s="52"/>
      <c r="L74"/>
      <c r="M74"/>
      <c r="N74"/>
      <c r="P74"/>
      <c r="Q74"/>
      <c r="R74"/>
    </row>
    <row r="75" spans="3:18" x14ac:dyDescent="0.25">
      <c r="C75" s="49"/>
      <c r="D75" s="50"/>
      <c r="E75" s="50"/>
      <c r="F75" s="50"/>
      <c r="G75" s="50"/>
      <c r="H75" s="51"/>
      <c r="I75" s="52"/>
      <c r="J75" s="52"/>
      <c r="K75" s="52"/>
      <c r="L75"/>
      <c r="M75"/>
      <c r="N75"/>
      <c r="P75"/>
      <c r="Q75"/>
      <c r="R75"/>
    </row>
    <row r="76" spans="3:18" x14ac:dyDescent="0.25">
      <c r="C76" s="49"/>
      <c r="D76" s="50"/>
      <c r="E76" s="50"/>
      <c r="F76" s="50"/>
      <c r="G76" s="50"/>
      <c r="H76" s="51"/>
      <c r="I76" s="52"/>
      <c r="J76" s="52"/>
      <c r="K76" s="52"/>
      <c r="L76"/>
      <c r="M76"/>
      <c r="N76"/>
      <c r="P76"/>
      <c r="Q76"/>
      <c r="R76"/>
    </row>
    <row r="77" spans="3:18" x14ac:dyDescent="0.25">
      <c r="C77" s="49"/>
      <c r="D77" s="50"/>
      <c r="E77" s="50"/>
      <c r="F77" s="50"/>
      <c r="G77" s="50"/>
      <c r="H77" s="51"/>
      <c r="I77" s="52"/>
      <c r="J77" s="52"/>
      <c r="K77" s="52"/>
      <c r="L77"/>
      <c r="M77"/>
      <c r="N77"/>
      <c r="P77"/>
      <c r="Q77"/>
      <c r="R77"/>
    </row>
    <row r="78" spans="3:18" x14ac:dyDescent="0.25">
      <c r="C78" s="49"/>
      <c r="D78" s="50"/>
      <c r="E78" s="50"/>
      <c r="F78" s="50"/>
      <c r="G78" s="50"/>
      <c r="H78" s="51"/>
      <c r="I78" s="52"/>
      <c r="J78" s="52"/>
      <c r="K78" s="52"/>
      <c r="L78"/>
      <c r="M78"/>
      <c r="N78"/>
      <c r="P78"/>
      <c r="Q78"/>
      <c r="R78"/>
    </row>
    <row r="79" spans="3:18" x14ac:dyDescent="0.25">
      <c r="C79" s="49"/>
      <c r="D79" s="50"/>
      <c r="E79" s="50"/>
      <c r="F79" s="50"/>
      <c r="G79" s="50"/>
      <c r="H79" s="51"/>
      <c r="I79" s="52"/>
      <c r="J79" s="52"/>
      <c r="K79" s="52"/>
      <c r="L79"/>
      <c r="M79"/>
      <c r="N79"/>
      <c r="P79"/>
      <c r="Q79"/>
      <c r="R79"/>
    </row>
    <row r="80" spans="3:18" x14ac:dyDescent="0.25">
      <c r="C80" s="49"/>
      <c r="D80" s="50"/>
      <c r="E80" s="50"/>
      <c r="F80" s="50"/>
      <c r="G80" s="50"/>
      <c r="H80" s="51"/>
      <c r="I80" s="52"/>
      <c r="J80" s="52"/>
      <c r="K80" s="52"/>
      <c r="L80"/>
      <c r="M80"/>
      <c r="N80"/>
      <c r="P80"/>
      <c r="Q80"/>
      <c r="R80"/>
    </row>
    <row r="81" spans="3:18" x14ac:dyDescent="0.25">
      <c r="C81" s="49"/>
      <c r="D81" s="50"/>
      <c r="E81" s="50"/>
      <c r="F81" s="50"/>
      <c r="G81" s="50"/>
      <c r="H81" s="51"/>
      <c r="I81" s="52"/>
      <c r="J81" s="52"/>
      <c r="K81" s="52"/>
      <c r="L81"/>
      <c r="M81"/>
      <c r="N81"/>
      <c r="P81"/>
      <c r="Q81"/>
      <c r="R81"/>
    </row>
    <row r="82" spans="3:18" x14ac:dyDescent="0.25">
      <c r="C82" s="49"/>
      <c r="D82" s="50"/>
      <c r="E82" s="50"/>
      <c r="F82" s="50"/>
      <c r="G82" s="50"/>
      <c r="H82" s="51"/>
      <c r="I82" s="52"/>
      <c r="J82" s="52"/>
      <c r="K82" s="52"/>
      <c r="L82"/>
      <c r="M82"/>
      <c r="N82"/>
      <c r="P82"/>
      <c r="Q82"/>
      <c r="R82"/>
    </row>
    <row r="83" spans="3:18" x14ac:dyDescent="0.25">
      <c r="C83" s="49"/>
      <c r="D83" s="50"/>
      <c r="E83" s="50"/>
      <c r="F83" s="50"/>
      <c r="G83" s="50"/>
      <c r="H83" s="51"/>
      <c r="I83" s="52"/>
      <c r="J83" s="52"/>
      <c r="K83" s="52"/>
      <c r="L83"/>
      <c r="M83"/>
      <c r="N83"/>
      <c r="P83"/>
      <c r="Q83"/>
      <c r="R83"/>
    </row>
    <row r="84" spans="3:18" x14ac:dyDescent="0.25">
      <c r="C84" s="49"/>
      <c r="D84" s="50"/>
      <c r="E84" s="50"/>
      <c r="F84" s="50"/>
      <c r="G84" s="50"/>
      <c r="H84" s="51"/>
      <c r="I84" s="52"/>
      <c r="J84" s="52"/>
      <c r="K84" s="52"/>
      <c r="L84"/>
      <c r="M84"/>
      <c r="N84"/>
      <c r="P84"/>
      <c r="Q84"/>
      <c r="R84"/>
    </row>
    <row r="85" spans="3:18" x14ac:dyDescent="0.25">
      <c r="C85" s="49"/>
      <c r="D85" s="50"/>
      <c r="E85" s="50"/>
      <c r="F85" s="50"/>
      <c r="G85" s="50"/>
      <c r="H85" s="51"/>
      <c r="I85" s="52"/>
      <c r="J85" s="52"/>
      <c r="K85" s="52"/>
      <c r="L85"/>
      <c r="M85"/>
      <c r="N85"/>
      <c r="P85"/>
      <c r="Q85"/>
      <c r="R85"/>
    </row>
    <row r="86" spans="3:18" x14ac:dyDescent="0.25">
      <c r="C86" s="49"/>
      <c r="D86" s="50"/>
      <c r="E86" s="50"/>
      <c r="F86" s="50"/>
      <c r="G86" s="50"/>
      <c r="H86" s="51"/>
      <c r="I86" s="52"/>
      <c r="J86" s="52"/>
      <c r="K86" s="52"/>
      <c r="L86"/>
      <c r="M86"/>
      <c r="N86"/>
      <c r="P86"/>
      <c r="Q86"/>
      <c r="R86"/>
    </row>
    <row r="87" spans="3:18" x14ac:dyDescent="0.25">
      <c r="C87" s="49"/>
      <c r="D87" s="50"/>
      <c r="E87" s="50"/>
      <c r="F87" s="50"/>
      <c r="G87" s="50"/>
      <c r="H87" s="51"/>
      <c r="I87" s="52"/>
      <c r="J87" s="52"/>
      <c r="K87" s="52"/>
      <c r="L87"/>
      <c r="M87"/>
      <c r="N87"/>
      <c r="P87"/>
      <c r="Q87"/>
      <c r="R87"/>
    </row>
    <row r="88" spans="3:18" x14ac:dyDescent="0.25">
      <c r="C88" s="49"/>
      <c r="D88" s="50"/>
      <c r="E88" s="50"/>
      <c r="F88" s="50"/>
      <c r="G88" s="50"/>
      <c r="H88" s="51"/>
      <c r="I88" s="52"/>
      <c r="J88" s="52"/>
      <c r="K88" s="52"/>
      <c r="L88"/>
      <c r="M88"/>
      <c r="N88"/>
      <c r="P88"/>
      <c r="Q88"/>
      <c r="R88"/>
    </row>
    <row r="89" spans="3:18" x14ac:dyDescent="0.25">
      <c r="C89" s="49"/>
      <c r="D89" s="50"/>
      <c r="E89" s="50"/>
      <c r="F89" s="50"/>
      <c r="G89" s="50"/>
      <c r="H89" s="51"/>
      <c r="I89" s="52"/>
      <c r="J89" s="52"/>
      <c r="K89" s="52"/>
      <c r="L89"/>
      <c r="M89"/>
      <c r="N89"/>
      <c r="P89"/>
      <c r="Q89"/>
      <c r="R89"/>
    </row>
    <row r="90" spans="3:18" x14ac:dyDescent="0.25">
      <c r="C90" s="49"/>
      <c r="D90" s="50"/>
      <c r="E90" s="50"/>
      <c r="F90" s="50"/>
      <c r="G90" s="50"/>
      <c r="H90" s="51"/>
      <c r="I90" s="52"/>
      <c r="J90" s="52"/>
      <c r="K90" s="52"/>
      <c r="L90"/>
      <c r="M90"/>
      <c r="N90"/>
      <c r="P90"/>
      <c r="Q90"/>
      <c r="R90"/>
    </row>
    <row r="91" spans="3:18" x14ac:dyDescent="0.25">
      <c r="C91" s="49"/>
      <c r="D91" s="50"/>
      <c r="E91" s="50"/>
      <c r="F91" s="50"/>
      <c r="G91" s="50"/>
      <c r="H91" s="51"/>
      <c r="I91" s="52"/>
      <c r="J91" s="52"/>
      <c r="K91" s="52"/>
      <c r="L91"/>
      <c r="M91"/>
      <c r="N91"/>
      <c r="P91"/>
      <c r="Q91"/>
      <c r="R91"/>
    </row>
    <row r="92" spans="3:18" x14ac:dyDescent="0.25">
      <c r="C92" s="49"/>
      <c r="D92" s="50"/>
      <c r="E92" s="50"/>
      <c r="F92" s="50"/>
      <c r="G92" s="50"/>
      <c r="H92" s="51"/>
      <c r="I92" s="52"/>
      <c r="J92" s="52"/>
      <c r="K92" s="52"/>
      <c r="L92"/>
      <c r="M92"/>
      <c r="N92"/>
      <c r="P92"/>
      <c r="Q92"/>
      <c r="R92"/>
    </row>
    <row r="93" spans="3:18" x14ac:dyDescent="0.25">
      <c r="C93" s="49"/>
      <c r="D93" s="50"/>
      <c r="E93" s="50"/>
      <c r="F93" s="50"/>
      <c r="G93" s="50"/>
      <c r="H93" s="51"/>
      <c r="I93" s="52"/>
      <c r="J93" s="52"/>
      <c r="K93" s="52"/>
      <c r="L93"/>
      <c r="M93"/>
      <c r="N93"/>
      <c r="P93"/>
      <c r="Q93"/>
      <c r="R93"/>
    </row>
    <row r="94" spans="3:18" x14ac:dyDescent="0.25">
      <c r="C94" s="49"/>
      <c r="D94" s="50"/>
      <c r="E94" s="50"/>
      <c r="F94" s="50"/>
      <c r="G94" s="50"/>
      <c r="H94" s="51"/>
      <c r="I94" s="52"/>
      <c r="J94" s="52"/>
      <c r="K94" s="52"/>
      <c r="L94"/>
      <c r="M94"/>
      <c r="N94"/>
      <c r="P94"/>
      <c r="Q94"/>
      <c r="R94"/>
    </row>
    <row r="95" spans="3:18" x14ac:dyDescent="0.25">
      <c r="C95" s="49"/>
      <c r="D95" s="50"/>
      <c r="E95" s="50"/>
      <c r="F95" s="50"/>
      <c r="G95" s="50"/>
      <c r="H95" s="51"/>
      <c r="I95" s="52"/>
      <c r="J95" s="52"/>
      <c r="K95" s="52"/>
      <c r="L95"/>
      <c r="M95"/>
      <c r="N95"/>
      <c r="P95"/>
      <c r="Q95"/>
      <c r="R95"/>
    </row>
    <row r="96" spans="3:18" x14ac:dyDescent="0.25">
      <c r="C96" s="49"/>
      <c r="D96" s="50"/>
      <c r="E96" s="50"/>
      <c r="F96" s="50"/>
      <c r="G96" s="50"/>
      <c r="H96" s="51"/>
      <c r="I96" s="52"/>
      <c r="J96" s="52"/>
      <c r="K96" s="52"/>
      <c r="L96"/>
      <c r="M96"/>
      <c r="N96"/>
      <c r="P96"/>
      <c r="Q96"/>
      <c r="R96"/>
    </row>
    <row r="97" spans="3:18" x14ac:dyDescent="0.25">
      <c r="C97" s="49"/>
      <c r="D97" s="50"/>
      <c r="E97" s="50"/>
      <c r="F97" s="50"/>
      <c r="G97" s="50"/>
      <c r="H97" s="51"/>
      <c r="I97" s="52"/>
      <c r="J97" s="52"/>
      <c r="K97" s="52"/>
      <c r="L97"/>
      <c r="M97"/>
      <c r="N97"/>
      <c r="P97"/>
      <c r="Q97"/>
      <c r="R97"/>
    </row>
    <row r="98" spans="3:18" x14ac:dyDescent="0.25">
      <c r="C98" s="49"/>
      <c r="D98" s="50"/>
      <c r="E98" s="50"/>
      <c r="F98" s="50"/>
      <c r="G98" s="50"/>
      <c r="H98" s="51"/>
      <c r="I98" s="52"/>
      <c r="J98" s="52"/>
      <c r="K98" s="52"/>
      <c r="L98"/>
      <c r="M98"/>
      <c r="N98"/>
      <c r="P98"/>
      <c r="Q98"/>
      <c r="R98"/>
    </row>
    <row r="99" spans="3:18" x14ac:dyDescent="0.25">
      <c r="C99" s="49"/>
      <c r="D99" s="50"/>
      <c r="E99" s="50"/>
      <c r="F99" s="50"/>
      <c r="G99" s="50"/>
      <c r="H99" s="51"/>
      <c r="I99" s="52"/>
      <c r="J99" s="52"/>
      <c r="K99" s="52"/>
      <c r="L99"/>
      <c r="M99"/>
      <c r="N99"/>
      <c r="P99"/>
      <c r="Q99"/>
      <c r="R99"/>
    </row>
    <row r="100" spans="3:18" x14ac:dyDescent="0.25">
      <c r="C100" s="49"/>
      <c r="D100" s="50"/>
      <c r="E100" s="50"/>
      <c r="F100" s="50"/>
      <c r="G100" s="50"/>
      <c r="H100" s="51"/>
      <c r="I100" s="52"/>
      <c r="J100" s="52"/>
      <c r="K100" s="52"/>
      <c r="L100"/>
      <c r="M100"/>
      <c r="N100"/>
      <c r="P100"/>
      <c r="Q100"/>
      <c r="R100"/>
    </row>
    <row r="101" spans="3:18" x14ac:dyDescent="0.25">
      <c r="C101" s="49"/>
      <c r="D101" s="50"/>
      <c r="E101" s="50"/>
      <c r="F101" s="50"/>
      <c r="G101" s="50"/>
      <c r="H101" s="51"/>
      <c r="I101" s="52"/>
      <c r="J101" s="52"/>
      <c r="K101" s="52"/>
      <c r="L101"/>
      <c r="M101"/>
      <c r="N101"/>
      <c r="P101"/>
      <c r="Q101"/>
      <c r="R101"/>
    </row>
    <row r="102" spans="3:18" x14ac:dyDescent="0.25">
      <c r="C102" s="49"/>
      <c r="D102" s="50"/>
      <c r="E102" s="50"/>
      <c r="F102" s="50"/>
      <c r="G102" s="50"/>
      <c r="H102" s="51"/>
      <c r="I102" s="52"/>
      <c r="J102" s="52"/>
      <c r="K102" s="52"/>
      <c r="L102"/>
      <c r="M102"/>
      <c r="N102"/>
      <c r="P102"/>
      <c r="Q102"/>
      <c r="R102"/>
    </row>
    <row r="103" spans="3:18" x14ac:dyDescent="0.25">
      <c r="C103" s="49"/>
      <c r="D103" s="50"/>
      <c r="E103" s="50"/>
      <c r="F103" s="50"/>
      <c r="G103" s="50"/>
      <c r="H103" s="51"/>
      <c r="I103" s="52"/>
      <c r="J103" s="52"/>
      <c r="K103" s="52"/>
      <c r="L103"/>
      <c r="M103"/>
      <c r="N103"/>
      <c r="P103"/>
      <c r="Q103"/>
      <c r="R103"/>
    </row>
    <row r="104" spans="3:18" x14ac:dyDescent="0.25">
      <c r="C104" s="49"/>
      <c r="D104" s="50"/>
      <c r="E104" s="50"/>
      <c r="F104" s="50"/>
      <c r="G104" s="50"/>
      <c r="H104" s="51"/>
      <c r="I104" s="52"/>
      <c r="J104" s="52"/>
      <c r="K104" s="52"/>
      <c r="L104"/>
      <c r="M104"/>
      <c r="N104"/>
      <c r="P104"/>
      <c r="Q104"/>
      <c r="R104"/>
    </row>
    <row r="105" spans="3:18" x14ac:dyDescent="0.25">
      <c r="C105" s="49"/>
      <c r="D105" s="50"/>
      <c r="E105" s="50"/>
      <c r="F105" s="50"/>
      <c r="G105" s="50"/>
      <c r="H105" s="51"/>
      <c r="I105" s="52"/>
      <c r="J105" s="52"/>
      <c r="K105" s="52"/>
      <c r="L105"/>
      <c r="M105"/>
      <c r="N105"/>
      <c r="P105"/>
      <c r="Q105"/>
      <c r="R105"/>
    </row>
    <row r="106" spans="3:18" x14ac:dyDescent="0.25">
      <c r="C106" s="49"/>
      <c r="D106" s="50"/>
      <c r="E106" s="50"/>
      <c r="F106" s="50"/>
      <c r="G106" s="50"/>
      <c r="H106" s="51"/>
      <c r="I106" s="52"/>
      <c r="J106" s="52"/>
      <c r="K106" s="52"/>
      <c r="L106"/>
      <c r="M106"/>
      <c r="N106"/>
      <c r="P106"/>
      <c r="Q106"/>
      <c r="R106"/>
    </row>
    <row r="107" spans="3:18" x14ac:dyDescent="0.25">
      <c r="C107" s="49"/>
      <c r="D107" s="50"/>
      <c r="E107" s="50"/>
      <c r="F107" s="50"/>
      <c r="G107" s="50"/>
      <c r="H107" s="51"/>
      <c r="I107" s="52"/>
      <c r="J107" s="52"/>
      <c r="K107" s="52"/>
      <c r="L107"/>
      <c r="M107"/>
      <c r="N107"/>
      <c r="P107"/>
      <c r="Q107"/>
      <c r="R107"/>
    </row>
    <row r="108" spans="3:18" x14ac:dyDescent="0.25">
      <c r="C108" s="49"/>
      <c r="D108" s="50"/>
      <c r="E108" s="50"/>
      <c r="F108" s="50"/>
      <c r="G108" s="50"/>
      <c r="H108" s="51"/>
      <c r="I108" s="52"/>
      <c r="J108" s="52"/>
      <c r="K108" s="52"/>
      <c r="L108"/>
      <c r="M108"/>
      <c r="N108"/>
      <c r="P108"/>
      <c r="Q108"/>
      <c r="R108"/>
    </row>
    <row r="109" spans="3:18" x14ac:dyDescent="0.25">
      <c r="C109" s="49"/>
      <c r="D109" s="50"/>
      <c r="E109" s="50"/>
      <c r="F109" s="50"/>
      <c r="G109" s="50"/>
      <c r="H109" s="51"/>
      <c r="I109" s="52"/>
      <c r="J109" s="52"/>
      <c r="K109" s="52"/>
      <c r="L109"/>
      <c r="M109"/>
      <c r="N109"/>
      <c r="P109"/>
      <c r="Q109"/>
      <c r="R109"/>
    </row>
    <row r="110" spans="3:18" x14ac:dyDescent="0.25">
      <c r="C110" s="49"/>
      <c r="D110" s="50"/>
      <c r="E110" s="50"/>
      <c r="F110" s="50"/>
      <c r="G110" s="50"/>
      <c r="H110" s="51"/>
      <c r="I110" s="52"/>
      <c r="J110" s="52"/>
      <c r="K110" s="52"/>
      <c r="L110"/>
      <c r="M110"/>
      <c r="N110"/>
      <c r="P110"/>
      <c r="Q110"/>
      <c r="R110"/>
    </row>
    <row r="111" spans="3:18" x14ac:dyDescent="0.25">
      <c r="C111" s="49"/>
      <c r="D111" s="50"/>
      <c r="E111" s="50"/>
      <c r="F111" s="50"/>
      <c r="G111" s="50"/>
      <c r="H111" s="51"/>
      <c r="I111" s="52"/>
      <c r="J111" s="52"/>
      <c r="K111" s="52"/>
      <c r="L111"/>
      <c r="M111"/>
      <c r="N111"/>
      <c r="P111"/>
      <c r="Q111"/>
      <c r="R111"/>
    </row>
  </sheetData>
  <sheetProtection password="EFEB" sheet="1" objects="1" scenarios="1"/>
  <mergeCells count="6">
    <mergeCell ref="B3:R3"/>
    <mergeCell ref="I5:K5"/>
    <mergeCell ref="D30:J30"/>
    <mergeCell ref="D32:J32"/>
    <mergeCell ref="L4:N4"/>
    <mergeCell ref="P4:R4"/>
  </mergeCell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dimension ref="B2:AJ108"/>
  <sheetViews>
    <sheetView workbookViewId="0">
      <selection activeCell="D3" sqref="D3"/>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4" width="14.14062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4" width="14.14062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20" width="14.14062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6" width="14.14062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2" width="14.14062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8" width="14.14062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4" width="14.14062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800" width="14.14062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6" width="14.14062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2" width="14.14062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8" width="14.14062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4" width="14.14062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80" width="14.14062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6" width="14.14062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2" width="14.14062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8" width="14.14062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4" width="14.14062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60" width="14.14062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6" width="14.14062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2" width="14.14062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8" width="14.14062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4" width="14.14062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40" width="14.14062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6" width="14.14062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2" width="14.14062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8" width="14.14062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4" width="14.14062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20" width="14.14062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6" width="14.14062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2" width="14.14062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8" width="14.14062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4" width="14.14062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200" width="14.14062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6" width="14.14062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2" width="14.14062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8" width="14.14062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4" width="14.14062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80" width="14.14062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6" width="14.14062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2" width="14.14062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8" width="14.14062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4" width="14.14062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60" width="14.14062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6" width="14.14062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2" width="14.14062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8" width="14.14062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4" width="14.14062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40" width="14.14062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6" width="14.14062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2" width="14.14062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8" width="14.14062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4" width="14.14062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20" width="14.14062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6" width="14.14062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2" width="14.14062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8" width="14.14062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4" width="14.14062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600" width="14.14062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6" width="14.14062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2" width="14.14062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8" width="14.14062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4" width="14.14062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80" width="14.14062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6" width="14.14062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2" spans="2:36" s="7" customFormat="1" ht="18.75" thickBot="1" x14ac:dyDescent="0.3">
      <c r="B2" s="287" t="s">
        <v>592</v>
      </c>
      <c r="C2" s="287"/>
      <c r="D2" s="287"/>
      <c r="E2" s="287"/>
      <c r="F2" s="287"/>
      <c r="G2" s="287"/>
      <c r="H2" s="287"/>
      <c r="I2" s="287"/>
      <c r="J2" s="287"/>
      <c r="K2" s="287"/>
      <c r="L2" s="296"/>
      <c r="M2" s="296"/>
      <c r="N2" s="296"/>
      <c r="O2" s="296"/>
      <c r="P2" s="296"/>
      <c r="Q2" s="296"/>
      <c r="R2" s="296"/>
      <c r="S2" s="8"/>
      <c r="T2" s="8"/>
      <c r="U2" s="8"/>
      <c r="V2" s="8"/>
      <c r="W2" s="8"/>
      <c r="X2" s="8"/>
      <c r="Y2" s="8"/>
      <c r="Z2" s="8"/>
      <c r="AA2" s="8"/>
      <c r="AB2" s="8"/>
      <c r="AC2" s="8"/>
      <c r="AD2" s="8"/>
      <c r="AE2" s="8"/>
      <c r="AF2" s="8"/>
      <c r="AG2" s="8"/>
      <c r="AH2" s="8"/>
      <c r="AI2" s="8"/>
      <c r="AJ2" s="8"/>
    </row>
    <row r="3" spans="2:36" s="7" customFormat="1" ht="32.25" customHeight="1" thickBot="1" x14ac:dyDescent="0.3">
      <c r="B3" s="89"/>
      <c r="C3" s="89"/>
      <c r="D3" s="89"/>
      <c r="E3" s="186"/>
      <c r="F3" s="186"/>
      <c r="G3" s="186"/>
      <c r="H3" s="89"/>
      <c r="I3" s="89"/>
      <c r="J3" s="89"/>
      <c r="K3" s="89"/>
      <c r="L3" s="302" t="s">
        <v>310</v>
      </c>
      <c r="M3" s="303"/>
      <c r="N3" s="304"/>
      <c r="O3" s="139" t="s">
        <v>317</v>
      </c>
      <c r="P3" s="291" t="s">
        <v>318</v>
      </c>
      <c r="Q3" s="291"/>
      <c r="R3" s="292"/>
      <c r="S3" s="8"/>
      <c r="T3" s="8"/>
      <c r="U3" s="8"/>
      <c r="V3" s="8"/>
      <c r="W3" s="8"/>
      <c r="X3" s="8"/>
      <c r="Y3" s="8"/>
      <c r="Z3" s="8"/>
      <c r="AA3" s="8"/>
      <c r="AB3" s="8"/>
      <c r="AC3" s="8"/>
      <c r="AD3" s="8"/>
      <c r="AE3" s="8"/>
      <c r="AF3" s="8"/>
      <c r="AG3" s="8"/>
      <c r="AH3" s="8"/>
      <c r="AI3" s="8"/>
      <c r="AJ3" s="8"/>
    </row>
    <row r="4" spans="2:36" ht="26.25" thickBot="1" x14ac:dyDescent="0.3">
      <c r="B4" s="110" t="s">
        <v>0</v>
      </c>
      <c r="C4" s="238" t="s">
        <v>573</v>
      </c>
      <c r="D4" s="111" t="s">
        <v>1</v>
      </c>
      <c r="E4" s="215" t="s">
        <v>463</v>
      </c>
      <c r="F4" s="218" t="s">
        <v>465</v>
      </c>
      <c r="G4" s="215" t="s">
        <v>464</v>
      </c>
      <c r="H4" s="111" t="s">
        <v>2</v>
      </c>
      <c r="I4" s="300" t="s">
        <v>3</v>
      </c>
      <c r="J4" s="298"/>
      <c r="K4" s="301"/>
      <c r="L4" s="112" t="s">
        <v>311</v>
      </c>
      <c r="M4" s="113" t="s">
        <v>312</v>
      </c>
      <c r="N4" s="113" t="s">
        <v>313</v>
      </c>
      <c r="O4" s="114" t="s">
        <v>311</v>
      </c>
      <c r="P4" s="115" t="s">
        <v>4</v>
      </c>
      <c r="Q4" s="116" t="s">
        <v>5</v>
      </c>
      <c r="R4" s="117" t="s">
        <v>6</v>
      </c>
    </row>
    <row r="5" spans="2:36" s="17" customFormat="1" ht="22.5" x14ac:dyDescent="0.2">
      <c r="B5" s="118">
        <v>1</v>
      </c>
      <c r="C5" s="119" t="s">
        <v>182</v>
      </c>
      <c r="D5" s="120" t="s">
        <v>123</v>
      </c>
      <c r="E5" s="198" t="s">
        <v>538</v>
      </c>
      <c r="F5" s="239" t="s">
        <v>574</v>
      </c>
      <c r="G5" s="120" t="str">
        <f>UPPER(F5)</f>
        <v>RECEBIMENTO FORMAL DA 2ª CERTIFICAÇÃO DO INDICADOR DE GOVERNANÇA IG-SEST</v>
      </c>
      <c r="H5" s="120" t="s">
        <v>9</v>
      </c>
      <c r="I5" s="121">
        <v>43221</v>
      </c>
      <c r="J5" s="122">
        <v>11</v>
      </c>
      <c r="K5" s="123">
        <v>11</v>
      </c>
      <c r="L5" s="148">
        <v>30</v>
      </c>
      <c r="M5" s="148">
        <v>80</v>
      </c>
      <c r="N5" s="148"/>
      <c r="O5" s="130">
        <f>48+47</f>
        <v>95</v>
      </c>
      <c r="P5" s="125">
        <v>1536.71</v>
      </c>
      <c r="Q5" s="126">
        <v>0</v>
      </c>
      <c r="R5" s="127">
        <f t="shared" ref="R5:R24" si="0">L5+M5+N5+O5+P5+Q5</f>
        <v>1741.71</v>
      </c>
      <c r="S5" s="16"/>
      <c r="T5" s="16"/>
      <c r="U5" s="16"/>
      <c r="V5" s="16"/>
    </row>
    <row r="6" spans="2:36" s="17" customFormat="1" ht="12.75" x14ac:dyDescent="0.2">
      <c r="B6" s="99">
        <v>2</v>
      </c>
      <c r="C6" s="57" t="s">
        <v>183</v>
      </c>
      <c r="D6" s="10" t="s">
        <v>23</v>
      </c>
      <c r="E6" s="10" t="s">
        <v>478</v>
      </c>
      <c r="F6" s="195" t="s">
        <v>469</v>
      </c>
      <c r="G6" s="9" t="str">
        <f>UPPER(F6)</f>
        <v>REUNIÃO DO CONSELHO DIRETOR.</v>
      </c>
      <c r="H6" s="9" t="s">
        <v>184</v>
      </c>
      <c r="I6" s="18">
        <v>43221</v>
      </c>
      <c r="J6" s="10">
        <v>21</v>
      </c>
      <c r="K6" s="11">
        <v>21</v>
      </c>
      <c r="L6" s="58">
        <v>0</v>
      </c>
      <c r="M6" s="58">
        <v>61.6</v>
      </c>
      <c r="N6" s="58"/>
      <c r="O6" s="54">
        <v>0</v>
      </c>
      <c r="P6" s="14">
        <v>1316.61</v>
      </c>
      <c r="Q6" s="15">
        <v>0</v>
      </c>
      <c r="R6" s="98">
        <f t="shared" si="0"/>
        <v>1378.2099999999998</v>
      </c>
      <c r="S6" s="16"/>
      <c r="T6" s="16"/>
      <c r="U6" s="16"/>
      <c r="V6" s="16"/>
    </row>
    <row r="7" spans="2:36" s="17" customFormat="1" ht="81" customHeight="1" x14ac:dyDescent="0.2">
      <c r="B7" s="99">
        <v>3</v>
      </c>
      <c r="C7" s="56" t="s">
        <v>185</v>
      </c>
      <c r="D7" s="10" t="s">
        <v>186</v>
      </c>
      <c r="E7" s="197" t="s">
        <v>583</v>
      </c>
      <c r="F7" s="188" t="s">
        <v>575</v>
      </c>
      <c r="G7" s="9" t="str">
        <f t="shared" ref="G7:G24" si="1">UPPER(F7)</f>
        <v>REPRESENTAR A INSTITUIÇÃO COMO PRÓ-REITOR DE ENSINO NO SEMINÁRIO INTITULADO: "ORIENTAÇÕES PARA A ELABORAÇÃO DE PROPOSTAS DE CURSOS NOVOS", PROMOVIDO PELA COORDENAÇÃO DE APERFEIÇOAMENTO DE PESSOAL DE NÍVEL SUPERIOR (CAPES) E O FÓRUM NACIONAL DE PRÓ-REITORES DE PESQUISA E PÓS-GRADUAÇÃO (FOPROP).</v>
      </c>
      <c r="H7" s="9" t="s">
        <v>181</v>
      </c>
      <c r="I7" s="18">
        <v>43221</v>
      </c>
      <c r="J7" s="10">
        <v>8</v>
      </c>
      <c r="K7" s="11">
        <v>8</v>
      </c>
      <c r="L7" s="58">
        <v>167.48</v>
      </c>
      <c r="M7" s="58"/>
      <c r="N7" s="58">
        <v>50</v>
      </c>
      <c r="O7" s="54">
        <v>0</v>
      </c>
      <c r="P7" s="14">
        <v>1168.8499999999999</v>
      </c>
      <c r="Q7" s="15">
        <v>0</v>
      </c>
      <c r="R7" s="98">
        <f t="shared" si="0"/>
        <v>1386.33</v>
      </c>
      <c r="S7" s="16"/>
      <c r="T7" s="16"/>
      <c r="U7" s="16"/>
      <c r="V7" s="16"/>
    </row>
    <row r="8" spans="2:36" s="17" customFormat="1" ht="12.75" x14ac:dyDescent="0.2">
      <c r="B8" s="99">
        <v>4</v>
      </c>
      <c r="C8" s="57" t="s">
        <v>187</v>
      </c>
      <c r="D8" s="10" t="s">
        <v>26</v>
      </c>
      <c r="E8" s="10" t="s">
        <v>478</v>
      </c>
      <c r="F8" s="195" t="s">
        <v>469</v>
      </c>
      <c r="G8" s="9" t="str">
        <f t="shared" si="1"/>
        <v>REUNIÃO DO CONSELHO DIRETOR.</v>
      </c>
      <c r="H8" s="9" t="s">
        <v>184</v>
      </c>
      <c r="I8" s="18">
        <v>43221</v>
      </c>
      <c r="J8" s="10">
        <v>21</v>
      </c>
      <c r="K8" s="11">
        <v>21</v>
      </c>
      <c r="L8" s="58">
        <v>0</v>
      </c>
      <c r="M8" s="58">
        <v>0</v>
      </c>
      <c r="N8" s="58"/>
      <c r="O8" s="54">
        <v>0</v>
      </c>
      <c r="P8" s="14">
        <v>1442.81</v>
      </c>
      <c r="Q8" s="15">
        <v>0</v>
      </c>
      <c r="R8" s="98">
        <f t="shared" si="0"/>
        <v>1442.81</v>
      </c>
      <c r="S8" s="16"/>
      <c r="T8" s="16"/>
      <c r="U8" s="16"/>
      <c r="V8" s="16"/>
    </row>
    <row r="9" spans="2:36" s="17" customFormat="1" ht="12.75" x14ac:dyDescent="0.2">
      <c r="B9" s="99">
        <v>5</v>
      </c>
      <c r="C9" s="57" t="s">
        <v>188</v>
      </c>
      <c r="D9" s="10" t="s">
        <v>13</v>
      </c>
      <c r="E9" s="197" t="s">
        <v>513</v>
      </c>
      <c r="F9" s="233" t="s">
        <v>576</v>
      </c>
      <c r="G9" s="9" t="str">
        <f t="shared" si="1"/>
        <v>REUNIÃO NO MINISTÉRIO DO PLANEJAMENTO</v>
      </c>
      <c r="H9" s="9" t="s">
        <v>184</v>
      </c>
      <c r="I9" s="18">
        <v>43221</v>
      </c>
      <c r="J9" s="10">
        <v>9</v>
      </c>
      <c r="K9" s="11">
        <v>9</v>
      </c>
      <c r="L9" s="58">
        <v>49</v>
      </c>
      <c r="M9" s="58">
        <v>58.64</v>
      </c>
      <c r="N9" s="58"/>
      <c r="O9" s="54">
        <v>0</v>
      </c>
      <c r="P9" s="14">
        <v>881.81</v>
      </c>
      <c r="Q9" s="15">
        <v>0</v>
      </c>
      <c r="R9" s="98">
        <f t="shared" si="0"/>
        <v>989.44999999999993</v>
      </c>
      <c r="S9" s="16"/>
      <c r="T9" s="16"/>
      <c r="U9" s="16"/>
      <c r="V9" s="16"/>
    </row>
    <row r="10" spans="2:36" s="17" customFormat="1" ht="12.75" x14ac:dyDescent="0.2">
      <c r="B10" s="99">
        <v>6</v>
      </c>
      <c r="C10" s="57" t="s">
        <v>189</v>
      </c>
      <c r="D10" s="189" t="s">
        <v>15</v>
      </c>
      <c r="E10" s="10" t="s">
        <v>561</v>
      </c>
      <c r="F10" s="237" t="s">
        <v>576</v>
      </c>
      <c r="G10" s="9" t="str">
        <f t="shared" si="1"/>
        <v>REUNIÃO NO MINISTÉRIO DO PLANEJAMENTO</v>
      </c>
      <c r="H10" s="9" t="s">
        <v>184</v>
      </c>
      <c r="I10" s="18">
        <v>43221</v>
      </c>
      <c r="J10" s="10">
        <v>9</v>
      </c>
      <c r="K10" s="11">
        <v>9</v>
      </c>
      <c r="L10" s="58">
        <v>35</v>
      </c>
      <c r="M10" s="58">
        <v>58.64</v>
      </c>
      <c r="N10" s="58"/>
      <c r="O10" s="54">
        <f>26+47+48</f>
        <v>121</v>
      </c>
      <c r="P10" s="14">
        <v>881.81</v>
      </c>
      <c r="Q10" s="15">
        <v>0</v>
      </c>
      <c r="R10" s="98">
        <f t="shared" si="0"/>
        <v>1096.4499999999998</v>
      </c>
      <c r="S10" s="16"/>
      <c r="T10" s="16"/>
      <c r="U10" s="16"/>
      <c r="V10" s="16"/>
    </row>
    <row r="11" spans="2:36" s="17" customFormat="1" ht="22.5" x14ac:dyDescent="0.2">
      <c r="B11" s="99">
        <v>7</v>
      </c>
      <c r="C11" s="57" t="s">
        <v>190</v>
      </c>
      <c r="D11" s="24" t="s">
        <v>11</v>
      </c>
      <c r="E11" s="10" t="s">
        <v>501</v>
      </c>
      <c r="F11" s="240" t="s">
        <v>577</v>
      </c>
      <c r="G11" s="9" t="str">
        <f t="shared" si="1"/>
        <v>PARTICIPAR DA ASSEMBLEIA GERAL ORDINÁRIA DA ABRAHUE.</v>
      </c>
      <c r="H11" s="9" t="s">
        <v>9</v>
      </c>
      <c r="I11" s="18">
        <v>43221</v>
      </c>
      <c r="J11" s="10">
        <v>15</v>
      </c>
      <c r="K11" s="11">
        <v>16</v>
      </c>
      <c r="L11" s="58">
        <v>0</v>
      </c>
      <c r="M11" s="58">
        <v>80.900000000000006</v>
      </c>
      <c r="N11" s="58"/>
      <c r="O11" s="54">
        <v>0</v>
      </c>
      <c r="P11" s="14">
        <v>1447.71</v>
      </c>
      <c r="Q11" s="15">
        <f>511.75+800</f>
        <v>1311.75</v>
      </c>
      <c r="R11" s="98">
        <f t="shared" si="0"/>
        <v>2840.36</v>
      </c>
      <c r="S11" s="16"/>
      <c r="T11" s="16"/>
      <c r="U11" s="16"/>
      <c r="V11" s="16"/>
    </row>
    <row r="12" spans="2:36" s="17" customFormat="1" ht="12.75" x14ac:dyDescent="0.2">
      <c r="B12" s="99">
        <v>8</v>
      </c>
      <c r="C12" s="57" t="s">
        <v>191</v>
      </c>
      <c r="D12" s="189" t="s">
        <v>20</v>
      </c>
      <c r="E12" s="10" t="s">
        <v>478</v>
      </c>
      <c r="F12" s="194" t="s">
        <v>469</v>
      </c>
      <c r="G12" s="9" t="str">
        <f t="shared" si="1"/>
        <v>REUNIÃO DO CONSELHO DIRETOR.</v>
      </c>
      <c r="H12" s="10" t="s">
        <v>89</v>
      </c>
      <c r="I12" s="18">
        <v>43221</v>
      </c>
      <c r="J12" s="10">
        <v>21</v>
      </c>
      <c r="K12" s="11">
        <v>21</v>
      </c>
      <c r="L12" s="58">
        <v>0</v>
      </c>
      <c r="M12" s="58">
        <v>0</v>
      </c>
      <c r="N12" s="58"/>
      <c r="O12" s="54">
        <v>0</v>
      </c>
      <c r="P12" s="14">
        <v>1762.55</v>
      </c>
      <c r="Q12" s="15">
        <v>0</v>
      </c>
      <c r="R12" s="98">
        <f t="shared" si="0"/>
        <v>1762.55</v>
      </c>
      <c r="S12" s="16"/>
      <c r="T12" s="16"/>
      <c r="U12" s="16"/>
      <c r="V12" s="16"/>
    </row>
    <row r="13" spans="2:36" s="17" customFormat="1" ht="33.75" x14ac:dyDescent="0.2">
      <c r="B13" s="99">
        <v>9</v>
      </c>
      <c r="C13" s="56" t="s">
        <v>192</v>
      </c>
      <c r="D13" s="189" t="s">
        <v>193</v>
      </c>
      <c r="E13" s="10" t="s">
        <v>584</v>
      </c>
      <c r="F13" s="188" t="s">
        <v>578</v>
      </c>
      <c r="G13" s="9" t="str">
        <f t="shared" si="1"/>
        <v>PARTICIPAR DO SIMPÓSIO DO MESTRADO PROFISSIONAL EM ÁLCOOL E OUTRAS DROGAS SENAD.</v>
      </c>
      <c r="H13" s="9" t="s">
        <v>194</v>
      </c>
      <c r="I13" s="18">
        <v>43282</v>
      </c>
      <c r="J13" s="10">
        <v>1</v>
      </c>
      <c r="K13" s="11">
        <v>3</v>
      </c>
      <c r="L13" s="58">
        <v>0</v>
      </c>
      <c r="M13" s="58">
        <v>0</v>
      </c>
      <c r="N13" s="58"/>
      <c r="O13" s="54">
        <v>0</v>
      </c>
      <c r="P13" s="14">
        <f>384.31+299.68</f>
        <v>683.99</v>
      </c>
      <c r="Q13" s="15">
        <v>0</v>
      </c>
      <c r="R13" s="98">
        <f t="shared" si="0"/>
        <v>683.99</v>
      </c>
      <c r="S13" s="16"/>
      <c r="T13" s="16"/>
      <c r="U13" s="16"/>
      <c r="V13" s="16"/>
    </row>
    <row r="14" spans="2:36" s="17" customFormat="1" ht="45" x14ac:dyDescent="0.2">
      <c r="B14" s="99">
        <v>10</v>
      </c>
      <c r="C14" s="56" t="s">
        <v>196</v>
      </c>
      <c r="D14" s="10" t="s">
        <v>197</v>
      </c>
      <c r="E14" s="197" t="s">
        <v>585</v>
      </c>
      <c r="F14" s="193" t="s">
        <v>579</v>
      </c>
      <c r="G14" s="9" t="str">
        <f t="shared" si="1"/>
        <v>VISITA ÀS DEPENDÊNCIAS DO HOSPITAL GERAL ROBERTO SANTOS DA SESAB PARA POSSÍVEL IMPLANTAÇÃO DO AGHUSE,  POR ORIENTAÇÃO DA PRESIDENTE DO HCPA.</v>
      </c>
      <c r="H14" s="9" t="s">
        <v>198</v>
      </c>
      <c r="I14" s="18">
        <v>43221</v>
      </c>
      <c r="J14" s="10">
        <v>16</v>
      </c>
      <c r="K14" s="11">
        <v>17</v>
      </c>
      <c r="L14" s="58">
        <v>0</v>
      </c>
      <c r="M14" s="58">
        <v>240.68</v>
      </c>
      <c r="N14" s="58"/>
      <c r="O14" s="54">
        <v>20</v>
      </c>
      <c r="P14" s="14">
        <f>873.68+638.78</f>
        <v>1512.46</v>
      </c>
      <c r="Q14" s="15">
        <v>121</v>
      </c>
      <c r="R14" s="98">
        <f t="shared" si="0"/>
        <v>1894.14</v>
      </c>
      <c r="S14" s="16"/>
      <c r="T14" s="16"/>
      <c r="U14" s="16"/>
      <c r="V14" s="16"/>
    </row>
    <row r="15" spans="2:36" s="17" customFormat="1" ht="45" x14ac:dyDescent="0.2">
      <c r="B15" s="99">
        <v>11</v>
      </c>
      <c r="C15" s="56" t="s">
        <v>199</v>
      </c>
      <c r="D15" s="10" t="s">
        <v>74</v>
      </c>
      <c r="E15" s="197" t="s">
        <v>586</v>
      </c>
      <c r="F15" s="193" t="s">
        <v>579</v>
      </c>
      <c r="G15" s="9" t="str">
        <f t="shared" si="1"/>
        <v>VISITA ÀS DEPENDÊNCIAS DO HOSPITAL GERAL ROBERTO SANTOS DA SESAB PARA POSSÍVEL IMPLANTAÇÃO DO AGHUSE,  POR ORIENTAÇÃO DA PRESIDENTE DO HCPA.</v>
      </c>
      <c r="H15" s="9" t="s">
        <v>198</v>
      </c>
      <c r="I15" s="18">
        <v>43221</v>
      </c>
      <c r="J15" s="10">
        <v>16</v>
      </c>
      <c r="K15" s="11">
        <v>17</v>
      </c>
      <c r="L15" s="58">
        <v>0</v>
      </c>
      <c r="M15" s="58">
        <v>265.3</v>
      </c>
      <c r="N15" s="58"/>
      <c r="O15" s="54">
        <f>60+67</f>
        <v>127</v>
      </c>
      <c r="P15" s="14">
        <f>873.68+603.78</f>
        <v>1477.46</v>
      </c>
      <c r="Q15" s="15">
        <v>121</v>
      </c>
      <c r="R15" s="98">
        <f t="shared" si="0"/>
        <v>1990.76</v>
      </c>
      <c r="S15" s="16"/>
      <c r="T15" s="16"/>
      <c r="U15" s="16"/>
      <c r="V15" s="16"/>
    </row>
    <row r="16" spans="2:36" s="17" customFormat="1" ht="12.75" x14ac:dyDescent="0.2">
      <c r="B16" s="99">
        <v>12</v>
      </c>
      <c r="C16" s="56" t="s">
        <v>200</v>
      </c>
      <c r="D16" s="10" t="s">
        <v>17</v>
      </c>
      <c r="E16" s="10" t="s">
        <v>478</v>
      </c>
      <c r="F16" s="195" t="s">
        <v>469</v>
      </c>
      <c r="G16" s="9" t="str">
        <f t="shared" si="1"/>
        <v>REUNIÃO DO CONSELHO DIRETOR.</v>
      </c>
      <c r="H16" s="9" t="s">
        <v>201</v>
      </c>
      <c r="I16" s="18">
        <v>43221</v>
      </c>
      <c r="J16" s="10">
        <v>21</v>
      </c>
      <c r="K16" s="11">
        <v>21</v>
      </c>
      <c r="L16" s="58">
        <v>0</v>
      </c>
      <c r="M16" s="58">
        <v>0</v>
      </c>
      <c r="N16" s="58"/>
      <c r="O16" s="54">
        <v>0</v>
      </c>
      <c r="P16" s="14">
        <f>963.68+1008.03</f>
        <v>1971.71</v>
      </c>
      <c r="Q16" s="15">
        <v>0</v>
      </c>
      <c r="R16" s="98">
        <f t="shared" si="0"/>
        <v>1971.71</v>
      </c>
      <c r="S16" s="16"/>
      <c r="T16" s="16"/>
      <c r="U16" s="16"/>
      <c r="V16" s="16"/>
    </row>
    <row r="17" spans="2:22" s="17" customFormat="1" ht="33.75" x14ac:dyDescent="0.2">
      <c r="B17" s="99">
        <v>13</v>
      </c>
      <c r="C17" s="56" t="s">
        <v>202</v>
      </c>
      <c r="D17" s="10" t="s">
        <v>127</v>
      </c>
      <c r="E17" s="197" t="s">
        <v>587</v>
      </c>
      <c r="F17" s="193" t="s">
        <v>580</v>
      </c>
      <c r="G17" s="9" t="str">
        <f t="shared" si="1"/>
        <v>CAPACITAÇÃO DAS EQUIPES QUE DE SAÚDE E HOSPITALAR QUE RECEBERÃO A PACIENTE INTERNADA NO HCPA NO PÓS-ALTA.</v>
      </c>
      <c r="H17" s="9" t="s">
        <v>203</v>
      </c>
      <c r="I17" s="18">
        <v>43221</v>
      </c>
      <c r="J17" s="10">
        <v>14</v>
      </c>
      <c r="K17" s="11">
        <v>15</v>
      </c>
      <c r="L17" s="58">
        <v>345.8</v>
      </c>
      <c r="M17" s="58">
        <v>53.42</v>
      </c>
      <c r="N17" s="58"/>
      <c r="O17" s="54">
        <v>0</v>
      </c>
      <c r="P17" s="14">
        <v>0</v>
      </c>
      <c r="Q17" s="15">
        <f>199/2</f>
        <v>99.5</v>
      </c>
      <c r="R17" s="98">
        <f t="shared" si="0"/>
        <v>498.72</v>
      </c>
      <c r="S17" s="16"/>
      <c r="T17" s="16"/>
      <c r="U17" s="16"/>
      <c r="V17" s="16"/>
    </row>
    <row r="18" spans="2:22" s="17" customFormat="1" ht="33.75" x14ac:dyDescent="0.2">
      <c r="B18" s="99">
        <v>14</v>
      </c>
      <c r="C18" s="56" t="s">
        <v>204</v>
      </c>
      <c r="D18" s="10" t="s">
        <v>128</v>
      </c>
      <c r="E18" s="197" t="s">
        <v>588</v>
      </c>
      <c r="F18" s="193" t="s">
        <v>580</v>
      </c>
      <c r="G18" s="9" t="str">
        <f t="shared" si="1"/>
        <v>CAPACITAÇÃO DAS EQUIPES QUE DE SAÚDE E HOSPITALAR QUE RECEBERÃO A PACIENTE INTERNADA NO HCPA NO PÓS-ALTA.</v>
      </c>
      <c r="H18" s="9" t="s">
        <v>203</v>
      </c>
      <c r="I18" s="18">
        <v>43221</v>
      </c>
      <c r="J18" s="10">
        <v>14</v>
      </c>
      <c r="K18" s="11">
        <v>15</v>
      </c>
      <c r="L18" s="58">
        <v>345.8</v>
      </c>
      <c r="M18" s="58">
        <v>57.79</v>
      </c>
      <c r="N18" s="58"/>
      <c r="O18" s="54">
        <v>0</v>
      </c>
      <c r="P18" s="14">
        <v>0</v>
      </c>
      <c r="Q18" s="15">
        <f>199/2</f>
        <v>99.5</v>
      </c>
      <c r="R18" s="98">
        <f t="shared" si="0"/>
        <v>503.09000000000003</v>
      </c>
      <c r="S18" s="16"/>
      <c r="T18" s="16"/>
      <c r="U18" s="16"/>
      <c r="V18" s="16"/>
    </row>
    <row r="19" spans="2:22" s="17" customFormat="1" ht="33.75" x14ac:dyDescent="0.2">
      <c r="B19" s="99">
        <v>15</v>
      </c>
      <c r="C19" s="56" t="s">
        <v>205</v>
      </c>
      <c r="D19" s="10" t="s">
        <v>206</v>
      </c>
      <c r="E19" s="197" t="s">
        <v>589</v>
      </c>
      <c r="F19" s="193" t="s">
        <v>580</v>
      </c>
      <c r="G19" s="9" t="str">
        <f t="shared" si="1"/>
        <v>CAPACITAÇÃO DAS EQUIPES QUE DE SAÚDE E HOSPITALAR QUE RECEBERÃO A PACIENTE INTERNADA NO HCPA NO PÓS-ALTA.</v>
      </c>
      <c r="H19" s="9" t="s">
        <v>203</v>
      </c>
      <c r="I19" s="18">
        <v>43221</v>
      </c>
      <c r="J19" s="10">
        <v>14</v>
      </c>
      <c r="K19" s="11">
        <v>15</v>
      </c>
      <c r="L19" s="58">
        <v>345.8</v>
      </c>
      <c r="M19" s="58">
        <v>72.28</v>
      </c>
      <c r="N19" s="58"/>
      <c r="O19" s="54">
        <v>0</v>
      </c>
      <c r="P19" s="14">
        <v>0</v>
      </c>
      <c r="Q19" s="15">
        <f>199/2</f>
        <v>99.5</v>
      </c>
      <c r="R19" s="98">
        <f t="shared" si="0"/>
        <v>517.58000000000004</v>
      </c>
      <c r="S19" s="16"/>
      <c r="T19" s="16"/>
      <c r="U19" s="16"/>
      <c r="V19" s="16"/>
    </row>
    <row r="20" spans="2:22" s="17" customFormat="1" ht="33.75" x14ac:dyDescent="0.2">
      <c r="B20" s="99">
        <v>16</v>
      </c>
      <c r="C20" s="56" t="s">
        <v>207</v>
      </c>
      <c r="D20" s="10" t="s">
        <v>208</v>
      </c>
      <c r="E20" s="197" t="s">
        <v>590</v>
      </c>
      <c r="F20" s="193" t="s">
        <v>580</v>
      </c>
      <c r="G20" s="9" t="str">
        <f t="shared" si="1"/>
        <v>CAPACITAÇÃO DAS EQUIPES QUE DE SAÚDE E HOSPITALAR QUE RECEBERÃO A PACIENTE INTERNADA NO HCPA NO PÓS-ALTA.</v>
      </c>
      <c r="H20" s="9" t="s">
        <v>203</v>
      </c>
      <c r="I20" s="18">
        <v>43221</v>
      </c>
      <c r="J20" s="10">
        <v>14</v>
      </c>
      <c r="K20" s="11">
        <v>15</v>
      </c>
      <c r="L20" s="58">
        <v>345.8</v>
      </c>
      <c r="M20" s="58">
        <v>64.98</v>
      </c>
      <c r="N20" s="58"/>
      <c r="O20" s="54">
        <v>0</v>
      </c>
      <c r="P20" s="14">
        <v>0</v>
      </c>
      <c r="Q20" s="15">
        <f>199/2</f>
        <v>99.5</v>
      </c>
      <c r="R20" s="98">
        <f t="shared" si="0"/>
        <v>510.28000000000003</v>
      </c>
      <c r="S20" s="16"/>
      <c r="T20" s="16"/>
      <c r="U20" s="16"/>
      <c r="V20" s="16"/>
    </row>
    <row r="21" spans="2:22" s="17" customFormat="1" ht="25.5" customHeight="1" x14ac:dyDescent="0.2">
      <c r="B21" s="99">
        <v>17</v>
      </c>
      <c r="C21" s="56" t="s">
        <v>209</v>
      </c>
      <c r="D21" s="10" t="s">
        <v>210</v>
      </c>
      <c r="E21" s="197" t="s">
        <v>529</v>
      </c>
      <c r="F21" s="188" t="s">
        <v>581</v>
      </c>
      <c r="G21" s="9" t="str">
        <f t="shared" si="1"/>
        <v>PARTICIPAÇÃO NO SEMINÁRIO SOBRE HERMENÊUTICA CONSTITUCIONAL E DIREITO SOCIAL. </v>
      </c>
      <c r="H21" s="9" t="s">
        <v>9</v>
      </c>
      <c r="I21" s="18">
        <v>43221</v>
      </c>
      <c r="J21" s="10">
        <v>24</v>
      </c>
      <c r="K21" s="11">
        <v>25</v>
      </c>
      <c r="L21" s="58">
        <v>0</v>
      </c>
      <c r="M21" s="58">
        <v>93.39</v>
      </c>
      <c r="N21" s="58"/>
      <c r="O21" s="54">
        <f>33+28+21+48+45</f>
        <v>175</v>
      </c>
      <c r="P21" s="14">
        <f>374.78+936.93</f>
        <v>1311.71</v>
      </c>
      <c r="Q21" s="15">
        <f>333.5+123.2</f>
        <v>456.7</v>
      </c>
      <c r="R21" s="98">
        <f t="shared" si="0"/>
        <v>2036.8</v>
      </c>
      <c r="S21" s="16"/>
      <c r="T21" s="16"/>
      <c r="U21" s="16"/>
      <c r="V21" s="16"/>
    </row>
    <row r="22" spans="2:22" s="17" customFormat="1" ht="27.75" customHeight="1" x14ac:dyDescent="0.2">
      <c r="B22" s="99">
        <v>18</v>
      </c>
      <c r="C22" s="56" t="s">
        <v>211</v>
      </c>
      <c r="D22" s="10" t="s">
        <v>103</v>
      </c>
      <c r="E22" s="197" t="s">
        <v>531</v>
      </c>
      <c r="F22" s="193" t="s">
        <v>581</v>
      </c>
      <c r="G22" s="9" t="str">
        <f t="shared" si="1"/>
        <v>PARTICIPAÇÃO NO SEMINÁRIO SOBRE HERMENÊUTICA CONSTITUCIONAL E DIREITO SOCIAL. </v>
      </c>
      <c r="H22" s="9" t="s">
        <v>9</v>
      </c>
      <c r="I22" s="18">
        <v>43221</v>
      </c>
      <c r="J22" s="10">
        <v>24</v>
      </c>
      <c r="K22" s="11">
        <v>25</v>
      </c>
      <c r="L22" s="58">
        <v>0</v>
      </c>
      <c r="M22" s="58">
        <v>120.55</v>
      </c>
      <c r="N22" s="58"/>
      <c r="O22" s="54">
        <f>25+50+25+22+25+37</f>
        <v>184</v>
      </c>
      <c r="P22" s="14">
        <f>374.78+936.93</f>
        <v>1311.71</v>
      </c>
      <c r="Q22" s="15">
        <f>333.5+152.9</f>
        <v>486.4</v>
      </c>
      <c r="R22" s="98">
        <f t="shared" si="0"/>
        <v>2102.66</v>
      </c>
      <c r="S22" s="16"/>
      <c r="T22" s="16"/>
      <c r="U22" s="16"/>
      <c r="V22" s="16"/>
    </row>
    <row r="23" spans="2:22" s="17" customFormat="1" ht="12.75" x14ac:dyDescent="0.2">
      <c r="B23" s="99">
        <v>19</v>
      </c>
      <c r="C23" s="56" t="s">
        <v>212</v>
      </c>
      <c r="D23" s="10" t="s">
        <v>52</v>
      </c>
      <c r="E23" s="197" t="s">
        <v>498</v>
      </c>
      <c r="F23" s="193" t="s">
        <v>582</v>
      </c>
      <c r="G23" s="9" t="str">
        <f t="shared" si="1"/>
        <v>VISITA A FEIRA HOSPITALAR 2018</v>
      </c>
      <c r="H23" s="9" t="s">
        <v>53</v>
      </c>
      <c r="I23" s="18">
        <v>43221</v>
      </c>
      <c r="J23" s="10">
        <v>24</v>
      </c>
      <c r="K23" s="11">
        <v>25</v>
      </c>
      <c r="L23" s="58">
        <v>0</v>
      </c>
      <c r="M23" s="58">
        <v>148.93</v>
      </c>
      <c r="N23" s="58"/>
      <c r="O23" s="54">
        <f>28+32.2+44+76.5+45.3+63.7</f>
        <v>289.7</v>
      </c>
      <c r="P23" s="14">
        <v>1309.1099999999999</v>
      </c>
      <c r="Q23" s="15">
        <v>222.56</v>
      </c>
      <c r="R23" s="98">
        <f t="shared" si="0"/>
        <v>1970.2999999999997</v>
      </c>
      <c r="S23" s="16"/>
      <c r="T23" s="16"/>
      <c r="U23" s="16"/>
      <c r="V23" s="16"/>
    </row>
    <row r="24" spans="2:22" s="17" customFormat="1" ht="34.5" thickBot="1" x14ac:dyDescent="0.25">
      <c r="B24" s="100">
        <v>20</v>
      </c>
      <c r="C24" s="101" t="s">
        <v>214</v>
      </c>
      <c r="D24" s="104" t="s">
        <v>215</v>
      </c>
      <c r="E24" s="104" t="s">
        <v>591</v>
      </c>
      <c r="F24" s="196" t="s">
        <v>578</v>
      </c>
      <c r="G24" s="102" t="str">
        <f t="shared" si="1"/>
        <v>PARTICIPAR DO SIMPÓSIO DO MESTRADO PROFISSIONAL EM ÁLCOOL E OUTRAS DROGAS SENAD.</v>
      </c>
      <c r="H24" s="102" t="s">
        <v>216</v>
      </c>
      <c r="I24" s="103" t="s">
        <v>178</v>
      </c>
      <c r="J24" s="104">
        <v>30</v>
      </c>
      <c r="K24" s="105">
        <v>5</v>
      </c>
      <c r="L24" s="149">
        <v>0</v>
      </c>
      <c r="M24" s="149">
        <v>0</v>
      </c>
      <c r="N24" s="149"/>
      <c r="O24" s="106">
        <v>0</v>
      </c>
      <c r="P24" s="107">
        <f>935.93</f>
        <v>935.93</v>
      </c>
      <c r="Q24" s="108">
        <v>0</v>
      </c>
      <c r="R24" s="109">
        <f t="shared" si="0"/>
        <v>935.93</v>
      </c>
      <c r="S24" s="16"/>
      <c r="T24" s="16"/>
      <c r="U24" s="16"/>
      <c r="V24" s="16"/>
    </row>
    <row r="25" spans="2:22" s="16" customFormat="1" ht="12" x14ac:dyDescent="0.2">
      <c r="B25" s="20"/>
      <c r="C25" s="21"/>
      <c r="D25" s="22"/>
      <c r="E25" s="22"/>
      <c r="F25" s="22"/>
      <c r="G25" s="22"/>
      <c r="H25" s="22"/>
      <c r="I25" s="23"/>
      <c r="J25" s="24"/>
      <c r="K25" s="25"/>
      <c r="L25" s="26"/>
      <c r="M25" s="26"/>
      <c r="N25" s="26"/>
      <c r="O25" s="27"/>
      <c r="P25" s="28"/>
      <c r="Q25" s="29"/>
      <c r="R25" s="30"/>
    </row>
    <row r="26" spans="2:22" s="31" customFormat="1" ht="15.75" x14ac:dyDescent="0.2">
      <c r="C26" s="32"/>
      <c r="D26" s="32"/>
      <c r="E26" s="32"/>
      <c r="F26" s="32"/>
      <c r="G26" s="32"/>
      <c r="H26" s="34"/>
      <c r="I26" s="32"/>
      <c r="J26" s="20"/>
      <c r="K26" s="33"/>
      <c r="L26" s="36">
        <f t="shared" ref="L26:Q26" si="2">SUM(L5:L24)</f>
        <v>1664.6799999999998</v>
      </c>
      <c r="M26" s="36">
        <f t="shared" si="2"/>
        <v>1457.1000000000001</v>
      </c>
      <c r="N26" s="36">
        <f t="shared" si="2"/>
        <v>50</v>
      </c>
      <c r="O26" s="133">
        <f t="shared" si="2"/>
        <v>1011.7</v>
      </c>
      <c r="P26" s="38">
        <f t="shared" si="2"/>
        <v>20952.939999999995</v>
      </c>
      <c r="Q26" s="39">
        <f t="shared" si="2"/>
        <v>3117.41</v>
      </c>
      <c r="R26" s="37">
        <f>SUM(R5:R24)+O28</f>
        <v>28263.946999999996</v>
      </c>
    </row>
    <row r="27" spans="2:22" s="40" customFormat="1" ht="15.75" x14ac:dyDescent="0.25">
      <c r="C27" s="41"/>
      <c r="D27" s="288"/>
      <c r="E27" s="288"/>
      <c r="F27" s="288"/>
      <c r="G27" s="288"/>
      <c r="H27" s="288"/>
      <c r="I27" s="288"/>
      <c r="J27" s="288"/>
      <c r="K27" s="42"/>
      <c r="L27" s="43"/>
      <c r="M27" s="43"/>
      <c r="N27" s="43"/>
      <c r="O27" s="27"/>
      <c r="R27" s="44"/>
    </row>
    <row r="28" spans="2:22" s="40" customFormat="1" ht="16.5" thickBot="1" x14ac:dyDescent="0.3">
      <c r="C28" s="41"/>
      <c r="D28" s="41"/>
      <c r="E28" s="41"/>
      <c r="F28" s="41"/>
      <c r="G28" s="41"/>
      <c r="H28" s="45"/>
      <c r="I28" s="41"/>
      <c r="J28" s="41"/>
      <c r="K28" s="42"/>
      <c r="L28" s="43"/>
      <c r="M28" s="43"/>
      <c r="N28" s="91" t="s">
        <v>315</v>
      </c>
      <c r="O28" s="27">
        <f>O26*1%</f>
        <v>10.117000000000001</v>
      </c>
      <c r="P28" s="46"/>
      <c r="Q28" s="44"/>
      <c r="R28" s="47" t="s">
        <v>50</v>
      </c>
    </row>
    <row r="29" spans="2:22" s="40" customFormat="1" ht="16.5" thickBot="1" x14ac:dyDescent="0.3">
      <c r="C29" s="41"/>
      <c r="D29" s="289"/>
      <c r="E29" s="289"/>
      <c r="F29" s="289"/>
      <c r="G29" s="289"/>
      <c r="H29" s="289"/>
      <c r="I29" s="289"/>
      <c r="J29" s="289"/>
      <c r="K29" s="42"/>
      <c r="L29" s="43"/>
      <c r="M29" s="43"/>
      <c r="N29" s="43"/>
      <c r="O29" s="93">
        <f>O26+O28</f>
        <v>1021.817</v>
      </c>
      <c r="P29" s="5" t="s">
        <v>49</v>
      </c>
      <c r="Q29" s="167">
        <f>L26+M26+N26+O29+P26+Q26</f>
        <v>28263.946999999996</v>
      </c>
      <c r="R29" s="48">
        <f>R26-Q29</f>
        <v>0</v>
      </c>
    </row>
    <row r="30" spans="2:22" ht="15.75" x14ac:dyDescent="0.25">
      <c r="C30" s="49"/>
      <c r="D30" s="50"/>
      <c r="E30" s="50"/>
      <c r="F30" s="50"/>
      <c r="G30" s="50"/>
      <c r="H30" s="51"/>
      <c r="I30" s="52"/>
      <c r="J30" s="52"/>
      <c r="K30" s="52"/>
      <c r="N30" s="43"/>
      <c r="O30" s="27"/>
    </row>
    <row r="31" spans="2:22" ht="15.75" x14ac:dyDescent="0.25">
      <c r="C31" s="49"/>
      <c r="D31" s="50"/>
      <c r="E31" s="50"/>
      <c r="F31" s="50"/>
      <c r="G31" s="50"/>
      <c r="H31" s="51"/>
      <c r="I31" s="52"/>
      <c r="J31" s="52"/>
      <c r="K31" s="52"/>
      <c r="N31" s="91" t="s">
        <v>315</v>
      </c>
      <c r="O31" s="27" t="s">
        <v>316</v>
      </c>
    </row>
    <row r="32" spans="2:22" x14ac:dyDescent="0.25">
      <c r="C32" s="49"/>
      <c r="D32" s="50"/>
      <c r="E32" s="50"/>
      <c r="F32" s="50"/>
      <c r="G32" s="50"/>
      <c r="H32" s="51"/>
      <c r="I32" s="52"/>
      <c r="J32" s="52"/>
      <c r="K32" s="52"/>
      <c r="O32" s="27"/>
    </row>
    <row r="33" spans="3:18" x14ac:dyDescent="0.25">
      <c r="C33" s="49"/>
      <c r="D33" s="50"/>
      <c r="E33" s="50"/>
      <c r="F33" s="50"/>
      <c r="G33" s="50"/>
      <c r="H33" s="51"/>
      <c r="I33" s="52"/>
      <c r="J33" s="52"/>
      <c r="K33" s="52"/>
      <c r="O33" s="27"/>
    </row>
    <row r="34" spans="3:18" x14ac:dyDescent="0.25">
      <c r="C34" s="49"/>
      <c r="D34" s="50"/>
      <c r="E34" s="50"/>
      <c r="F34" s="50"/>
      <c r="G34" s="50"/>
      <c r="H34" s="51"/>
      <c r="I34" s="52"/>
      <c r="J34" s="52"/>
      <c r="K34" s="52"/>
      <c r="O34" s="27"/>
    </row>
    <row r="35" spans="3:18" x14ac:dyDescent="0.25">
      <c r="C35" s="49"/>
      <c r="D35" s="50"/>
      <c r="E35" s="50"/>
      <c r="F35" s="50"/>
      <c r="G35" s="50"/>
      <c r="H35" s="51"/>
      <c r="I35" s="52"/>
      <c r="J35" s="52"/>
      <c r="K35" s="52"/>
      <c r="O35" s="27"/>
    </row>
    <row r="36" spans="3:18" x14ac:dyDescent="0.25">
      <c r="C36" s="49"/>
      <c r="D36" s="50"/>
      <c r="E36" s="50"/>
      <c r="F36" s="50"/>
      <c r="G36" s="50"/>
      <c r="H36" s="51"/>
      <c r="I36" s="52"/>
      <c r="J36" s="52"/>
      <c r="K36" s="52"/>
      <c r="O36" s="27"/>
    </row>
    <row r="37" spans="3:18" x14ac:dyDescent="0.25">
      <c r="C37" s="49"/>
      <c r="D37" s="50"/>
      <c r="E37" s="50"/>
      <c r="F37" s="50"/>
      <c r="G37" s="50"/>
      <c r="H37" s="51"/>
      <c r="I37" s="52"/>
      <c r="J37" s="52"/>
      <c r="K37" s="52"/>
      <c r="O37" s="27"/>
    </row>
    <row r="38" spans="3:18" x14ac:dyDescent="0.25">
      <c r="C38" s="49"/>
      <c r="H38" s="51"/>
      <c r="I38" s="52"/>
      <c r="J38" s="52"/>
      <c r="K38" s="52"/>
      <c r="O38" s="27"/>
    </row>
    <row r="39" spans="3:18" x14ac:dyDescent="0.25">
      <c r="C39" s="49"/>
      <c r="D39" s="50"/>
      <c r="E39" s="50"/>
      <c r="F39" s="50"/>
      <c r="G39" s="50"/>
      <c r="H39" s="51"/>
      <c r="I39" s="52"/>
      <c r="J39" s="52"/>
      <c r="K39" s="52"/>
      <c r="O39" s="27"/>
    </row>
    <row r="40" spans="3:18" x14ac:dyDescent="0.25">
      <c r="C40" s="49"/>
      <c r="D40" s="50"/>
      <c r="E40" s="50"/>
      <c r="F40" s="50"/>
      <c r="G40" s="50"/>
      <c r="H40" s="51"/>
      <c r="I40" s="52"/>
      <c r="J40" s="52"/>
      <c r="K40" s="52"/>
      <c r="O40" s="53"/>
    </row>
    <row r="41" spans="3:18" ht="15.75" x14ac:dyDescent="0.25">
      <c r="C41" s="49"/>
      <c r="D41" s="50"/>
      <c r="E41" s="50"/>
      <c r="F41" s="50"/>
      <c r="G41" s="50"/>
      <c r="H41" s="51"/>
      <c r="I41" s="52"/>
      <c r="J41" s="52"/>
      <c r="K41" s="52"/>
      <c r="O41" s="40"/>
    </row>
    <row r="42" spans="3:18" ht="15.75" x14ac:dyDescent="0.25">
      <c r="C42" s="49"/>
      <c r="D42" s="50"/>
      <c r="E42" s="50"/>
      <c r="F42" s="50"/>
      <c r="G42" s="50"/>
      <c r="H42" s="51"/>
      <c r="I42" s="52"/>
      <c r="J42" s="52"/>
      <c r="K42" s="52"/>
      <c r="O42" s="40"/>
    </row>
    <row r="43" spans="3:18" ht="15.75" x14ac:dyDescent="0.25">
      <c r="C43" s="49"/>
      <c r="D43" s="50"/>
      <c r="E43" s="50"/>
      <c r="F43" s="50"/>
      <c r="G43" s="50"/>
      <c r="H43" s="51"/>
      <c r="I43" s="52"/>
      <c r="J43" s="52"/>
      <c r="K43" s="52"/>
      <c r="O43" s="40"/>
    </row>
    <row r="44" spans="3:18" x14ac:dyDescent="0.25">
      <c r="C44" s="49"/>
      <c r="D44" s="50"/>
      <c r="E44" s="50"/>
      <c r="F44" s="50"/>
      <c r="G44" s="50"/>
      <c r="H44" s="51"/>
      <c r="I44" s="52"/>
      <c r="J44" s="52"/>
      <c r="K44" s="52"/>
      <c r="L44"/>
      <c r="M44"/>
      <c r="N44"/>
      <c r="P44"/>
      <c r="Q44"/>
      <c r="R44"/>
    </row>
    <row r="45" spans="3:18" x14ac:dyDescent="0.25">
      <c r="C45" s="49"/>
      <c r="D45" s="50"/>
      <c r="E45" s="50"/>
      <c r="F45" s="50"/>
      <c r="G45" s="50"/>
      <c r="H45" s="51"/>
      <c r="I45" s="52"/>
      <c r="J45" s="52"/>
      <c r="K45" s="52"/>
      <c r="L45"/>
      <c r="M45"/>
      <c r="N45"/>
      <c r="P45"/>
      <c r="Q45"/>
      <c r="R45"/>
    </row>
    <row r="46" spans="3:18" x14ac:dyDescent="0.25">
      <c r="C46" s="49"/>
      <c r="D46" s="50"/>
      <c r="E46" s="50"/>
      <c r="F46" s="50"/>
      <c r="G46" s="50"/>
      <c r="H46" s="51"/>
      <c r="I46" s="52"/>
      <c r="J46" s="52"/>
      <c r="K46" s="52"/>
      <c r="L46"/>
      <c r="M46"/>
      <c r="N46"/>
      <c r="P46"/>
      <c r="Q46"/>
      <c r="R46"/>
    </row>
    <row r="47" spans="3:18" x14ac:dyDescent="0.25">
      <c r="C47" s="49"/>
      <c r="D47" s="50"/>
      <c r="E47" s="50"/>
      <c r="F47" s="50"/>
      <c r="G47" s="50"/>
      <c r="H47" s="51"/>
      <c r="I47" s="52"/>
      <c r="J47" s="52"/>
      <c r="K47" s="52"/>
      <c r="L47"/>
      <c r="M47"/>
      <c r="N47"/>
      <c r="P47"/>
      <c r="Q47"/>
      <c r="R47"/>
    </row>
    <row r="48" spans="3:18" x14ac:dyDescent="0.25">
      <c r="C48" s="49"/>
      <c r="D48" s="50"/>
      <c r="E48" s="50"/>
      <c r="F48" s="50"/>
      <c r="G48" s="50"/>
      <c r="H48" s="51"/>
      <c r="I48" s="52"/>
      <c r="J48" s="52"/>
      <c r="K48" s="52"/>
      <c r="L48"/>
      <c r="M48"/>
      <c r="N48"/>
      <c r="P48"/>
      <c r="Q48"/>
      <c r="R48"/>
    </row>
    <row r="49" spans="3:18" x14ac:dyDescent="0.25">
      <c r="C49" s="49"/>
      <c r="D49" s="50"/>
      <c r="E49" s="50"/>
      <c r="F49" s="50"/>
      <c r="G49" s="50"/>
      <c r="H49" s="51"/>
      <c r="I49" s="52"/>
      <c r="J49" s="52"/>
      <c r="K49" s="52"/>
      <c r="L49"/>
      <c r="M49"/>
      <c r="N49"/>
      <c r="P49"/>
      <c r="Q49"/>
      <c r="R49"/>
    </row>
    <row r="50" spans="3:18" x14ac:dyDescent="0.25">
      <c r="C50" s="49"/>
      <c r="D50" s="50"/>
      <c r="E50" s="50"/>
      <c r="F50" s="50"/>
      <c r="G50" s="50"/>
      <c r="H50" s="51"/>
      <c r="I50" s="52"/>
      <c r="J50" s="52"/>
      <c r="K50" s="52"/>
      <c r="L50"/>
      <c r="M50"/>
      <c r="N50"/>
      <c r="P50"/>
      <c r="Q50"/>
      <c r="R50"/>
    </row>
    <row r="51" spans="3:18" x14ac:dyDescent="0.25">
      <c r="C51" s="49"/>
      <c r="D51" s="50"/>
      <c r="E51" s="50"/>
      <c r="F51" s="50"/>
      <c r="G51" s="50"/>
      <c r="H51" s="51"/>
      <c r="I51" s="52"/>
      <c r="J51" s="52"/>
      <c r="K51" s="52"/>
      <c r="L51"/>
      <c r="M51"/>
      <c r="N51"/>
      <c r="P51"/>
      <c r="Q51"/>
      <c r="R51"/>
    </row>
    <row r="52" spans="3:18" x14ac:dyDescent="0.25">
      <c r="C52" s="49"/>
      <c r="D52" s="50"/>
      <c r="E52" s="50"/>
      <c r="F52" s="50"/>
      <c r="G52" s="50"/>
      <c r="H52" s="51"/>
      <c r="I52" s="52"/>
      <c r="J52" s="52"/>
      <c r="K52" s="52"/>
      <c r="L52"/>
      <c r="M52"/>
      <c r="N52"/>
      <c r="P52"/>
      <c r="Q52"/>
      <c r="R52"/>
    </row>
    <row r="53" spans="3:18" x14ac:dyDescent="0.25">
      <c r="C53" s="49"/>
      <c r="D53" s="50"/>
      <c r="E53" s="50"/>
      <c r="F53" s="50"/>
      <c r="G53" s="50"/>
      <c r="H53" s="51"/>
      <c r="I53" s="52"/>
      <c r="J53" s="52"/>
      <c r="K53" s="52"/>
      <c r="L53"/>
      <c r="M53"/>
      <c r="N53"/>
      <c r="P53"/>
      <c r="Q53"/>
      <c r="R53"/>
    </row>
    <row r="54" spans="3:18" x14ac:dyDescent="0.25">
      <c r="C54" s="49"/>
      <c r="D54" s="50"/>
      <c r="E54" s="50"/>
      <c r="F54" s="50"/>
      <c r="G54" s="50"/>
      <c r="H54" s="51"/>
      <c r="I54" s="52"/>
      <c r="J54" s="52"/>
      <c r="K54" s="52"/>
      <c r="L54"/>
      <c r="M54"/>
      <c r="N54"/>
      <c r="P54"/>
      <c r="Q54"/>
      <c r="R54"/>
    </row>
    <row r="55" spans="3:18" x14ac:dyDescent="0.25">
      <c r="C55" s="49"/>
      <c r="D55" s="50"/>
      <c r="E55" s="50"/>
      <c r="F55" s="50"/>
      <c r="G55" s="50"/>
      <c r="H55" s="51"/>
      <c r="I55" s="52"/>
      <c r="J55" s="52"/>
      <c r="K55" s="52"/>
      <c r="L55"/>
      <c r="M55"/>
      <c r="N55"/>
      <c r="P55"/>
      <c r="Q55"/>
      <c r="R55"/>
    </row>
    <row r="56" spans="3:18" x14ac:dyDescent="0.25">
      <c r="C56" s="49"/>
      <c r="D56" s="50"/>
      <c r="E56" s="50"/>
      <c r="F56" s="50"/>
      <c r="G56" s="50"/>
      <c r="H56" s="51"/>
      <c r="I56" s="52"/>
      <c r="J56" s="52"/>
      <c r="K56" s="52"/>
      <c r="L56"/>
      <c r="M56"/>
      <c r="N56"/>
      <c r="P56"/>
      <c r="Q56"/>
      <c r="R56"/>
    </row>
    <row r="57" spans="3:18" x14ac:dyDescent="0.25">
      <c r="C57" s="49"/>
      <c r="D57" s="50"/>
      <c r="E57" s="50"/>
      <c r="F57" s="50"/>
      <c r="G57" s="50"/>
      <c r="H57" s="51"/>
      <c r="I57" s="52"/>
      <c r="J57" s="52"/>
      <c r="K57" s="52"/>
      <c r="L57"/>
      <c r="M57"/>
      <c r="N57"/>
      <c r="P57"/>
      <c r="Q57"/>
      <c r="R57"/>
    </row>
    <row r="58" spans="3:18" x14ac:dyDescent="0.25">
      <c r="C58" s="49"/>
      <c r="D58" s="50"/>
      <c r="E58" s="50"/>
      <c r="F58" s="50"/>
      <c r="G58" s="50"/>
      <c r="H58" s="51"/>
      <c r="I58" s="52"/>
      <c r="J58" s="52"/>
      <c r="K58" s="52"/>
      <c r="L58"/>
      <c r="M58"/>
      <c r="N58"/>
      <c r="P58"/>
      <c r="Q58"/>
      <c r="R58"/>
    </row>
    <row r="59" spans="3:18" x14ac:dyDescent="0.25">
      <c r="C59" s="49"/>
      <c r="D59" s="50"/>
      <c r="E59" s="50"/>
      <c r="F59" s="50"/>
      <c r="G59" s="50"/>
      <c r="H59" s="51"/>
      <c r="I59" s="52"/>
      <c r="J59" s="52"/>
      <c r="K59" s="52"/>
      <c r="L59"/>
      <c r="M59"/>
      <c r="N59"/>
      <c r="P59"/>
      <c r="Q59"/>
      <c r="R59"/>
    </row>
    <row r="60" spans="3:18" x14ac:dyDescent="0.25">
      <c r="C60" s="49"/>
      <c r="D60" s="50"/>
      <c r="E60" s="50"/>
      <c r="F60" s="50"/>
      <c r="G60" s="50"/>
      <c r="H60" s="51"/>
      <c r="I60" s="52"/>
      <c r="J60" s="52"/>
      <c r="K60" s="52"/>
      <c r="L60"/>
      <c r="M60"/>
      <c r="N60"/>
      <c r="P60"/>
      <c r="Q60"/>
      <c r="R60"/>
    </row>
    <row r="61" spans="3:18" x14ac:dyDescent="0.25">
      <c r="C61" s="49"/>
      <c r="D61" s="50"/>
      <c r="E61" s="50"/>
      <c r="F61" s="50"/>
      <c r="G61" s="50"/>
      <c r="H61" s="51"/>
      <c r="I61" s="52"/>
      <c r="J61" s="52"/>
      <c r="K61" s="52"/>
      <c r="L61"/>
      <c r="M61"/>
      <c r="N61"/>
      <c r="P61"/>
      <c r="Q61"/>
      <c r="R61"/>
    </row>
    <row r="62" spans="3:18" x14ac:dyDescent="0.25">
      <c r="C62" s="49"/>
      <c r="D62" s="50"/>
      <c r="E62" s="50"/>
      <c r="F62" s="50"/>
      <c r="G62" s="50"/>
      <c r="H62" s="51"/>
      <c r="I62" s="52"/>
      <c r="J62" s="52"/>
      <c r="K62" s="52"/>
      <c r="L62"/>
      <c r="M62"/>
      <c r="N62"/>
      <c r="P62"/>
      <c r="Q62"/>
      <c r="R62"/>
    </row>
    <row r="63" spans="3:18" x14ac:dyDescent="0.25">
      <c r="C63" s="49"/>
      <c r="D63" s="50"/>
      <c r="E63" s="50"/>
      <c r="F63" s="50"/>
      <c r="G63" s="50"/>
      <c r="H63" s="51"/>
      <c r="I63" s="52"/>
      <c r="J63" s="52"/>
      <c r="K63" s="52"/>
      <c r="L63"/>
      <c r="M63"/>
      <c r="N63"/>
      <c r="P63"/>
      <c r="Q63"/>
      <c r="R63"/>
    </row>
    <row r="64" spans="3:18" x14ac:dyDescent="0.25">
      <c r="C64" s="49"/>
      <c r="D64" s="50"/>
      <c r="E64" s="50"/>
      <c r="F64" s="50"/>
      <c r="G64" s="50"/>
      <c r="H64" s="51"/>
      <c r="I64" s="52"/>
      <c r="J64" s="52"/>
      <c r="K64" s="52"/>
      <c r="L64"/>
      <c r="M64"/>
      <c r="N64"/>
      <c r="P64"/>
      <c r="Q64"/>
      <c r="R64"/>
    </row>
    <row r="65" spans="3:18" x14ac:dyDescent="0.25">
      <c r="C65" s="49"/>
      <c r="D65" s="50"/>
      <c r="E65" s="50"/>
      <c r="F65" s="50"/>
      <c r="G65" s="50"/>
      <c r="H65" s="51"/>
      <c r="I65" s="52"/>
      <c r="J65" s="52"/>
      <c r="K65" s="52"/>
      <c r="L65"/>
      <c r="M65"/>
      <c r="N65"/>
      <c r="P65"/>
      <c r="Q65"/>
      <c r="R65"/>
    </row>
    <row r="66" spans="3:18" x14ac:dyDescent="0.25">
      <c r="C66" s="49"/>
      <c r="D66" s="50"/>
      <c r="E66" s="50"/>
      <c r="F66" s="50"/>
      <c r="G66" s="50"/>
      <c r="H66" s="51"/>
      <c r="I66" s="52"/>
      <c r="J66" s="52"/>
      <c r="K66" s="52"/>
      <c r="L66"/>
      <c r="M66"/>
      <c r="N66"/>
      <c r="P66"/>
      <c r="Q66"/>
      <c r="R66"/>
    </row>
    <row r="67" spans="3:18" x14ac:dyDescent="0.25">
      <c r="C67" s="49"/>
      <c r="D67" s="50"/>
      <c r="E67" s="50"/>
      <c r="F67" s="50"/>
      <c r="G67" s="50"/>
      <c r="H67" s="51"/>
      <c r="I67" s="52"/>
      <c r="J67" s="52"/>
      <c r="K67" s="52"/>
      <c r="L67"/>
      <c r="M67"/>
      <c r="N67"/>
      <c r="P67"/>
      <c r="Q67"/>
      <c r="R67"/>
    </row>
    <row r="68" spans="3:18" x14ac:dyDescent="0.25">
      <c r="C68" s="49"/>
      <c r="D68" s="50"/>
      <c r="E68" s="50"/>
      <c r="F68" s="50"/>
      <c r="G68" s="50"/>
      <c r="H68" s="51"/>
      <c r="I68" s="52"/>
      <c r="J68" s="52"/>
      <c r="K68" s="52"/>
      <c r="L68"/>
      <c r="M68"/>
      <c r="N68"/>
      <c r="P68"/>
      <c r="Q68"/>
      <c r="R68"/>
    </row>
    <row r="69" spans="3:18" x14ac:dyDescent="0.25">
      <c r="C69" s="49"/>
      <c r="D69" s="50"/>
      <c r="E69" s="50"/>
      <c r="F69" s="50"/>
      <c r="G69" s="50"/>
      <c r="H69" s="51"/>
      <c r="I69" s="52"/>
      <c r="J69" s="52"/>
      <c r="K69" s="52"/>
      <c r="L69"/>
      <c r="M69"/>
      <c r="N69"/>
      <c r="P69"/>
      <c r="Q69"/>
      <c r="R69"/>
    </row>
    <row r="70" spans="3:18" x14ac:dyDescent="0.25">
      <c r="C70" s="49"/>
      <c r="D70" s="50"/>
      <c r="E70" s="50"/>
      <c r="F70" s="50"/>
      <c r="G70" s="50"/>
      <c r="H70" s="51"/>
      <c r="I70" s="52"/>
      <c r="J70" s="52"/>
      <c r="K70" s="52"/>
      <c r="L70"/>
      <c r="M70"/>
      <c r="N70"/>
      <c r="P70"/>
      <c r="Q70"/>
      <c r="R70"/>
    </row>
    <row r="71" spans="3:18" x14ac:dyDescent="0.25">
      <c r="C71" s="49"/>
      <c r="D71" s="50"/>
      <c r="E71" s="50"/>
      <c r="F71" s="50"/>
      <c r="G71" s="50"/>
      <c r="H71" s="51"/>
      <c r="I71" s="52"/>
      <c r="J71" s="52"/>
      <c r="K71" s="52"/>
      <c r="L71"/>
      <c r="M71"/>
      <c r="N71"/>
      <c r="P71"/>
      <c r="Q71"/>
      <c r="R71"/>
    </row>
    <row r="72" spans="3:18" x14ac:dyDescent="0.25">
      <c r="C72" s="49"/>
      <c r="D72" s="50"/>
      <c r="E72" s="50"/>
      <c r="F72" s="50"/>
      <c r="G72" s="50"/>
      <c r="H72" s="51"/>
      <c r="I72" s="52"/>
      <c r="J72" s="52"/>
      <c r="K72" s="52"/>
      <c r="L72"/>
      <c r="M72"/>
      <c r="N72"/>
      <c r="P72"/>
      <c r="Q72"/>
      <c r="R72"/>
    </row>
    <row r="73" spans="3:18" x14ac:dyDescent="0.25">
      <c r="C73" s="49"/>
      <c r="D73" s="50"/>
      <c r="E73" s="50"/>
      <c r="F73" s="50"/>
      <c r="G73" s="50"/>
      <c r="H73" s="51"/>
      <c r="I73" s="52"/>
      <c r="J73" s="52"/>
      <c r="K73" s="52"/>
      <c r="L73"/>
      <c r="M73"/>
      <c r="N73"/>
      <c r="P73"/>
      <c r="Q73"/>
      <c r="R73"/>
    </row>
    <row r="74" spans="3:18" x14ac:dyDescent="0.25">
      <c r="C74" s="49"/>
      <c r="D74" s="50"/>
      <c r="E74" s="50"/>
      <c r="F74" s="50"/>
      <c r="G74" s="50"/>
      <c r="H74" s="51"/>
      <c r="I74" s="52"/>
      <c r="J74" s="52"/>
      <c r="K74" s="52"/>
      <c r="L74"/>
      <c r="M74"/>
      <c r="N74"/>
      <c r="P74"/>
      <c r="Q74"/>
      <c r="R74"/>
    </row>
    <row r="75" spans="3:18" x14ac:dyDescent="0.25">
      <c r="C75" s="49"/>
      <c r="D75" s="50"/>
      <c r="E75" s="50"/>
      <c r="F75" s="50"/>
      <c r="G75" s="50"/>
      <c r="H75" s="51"/>
      <c r="I75" s="52"/>
      <c r="J75" s="52"/>
      <c r="K75" s="52"/>
      <c r="L75"/>
      <c r="M75"/>
      <c r="N75"/>
      <c r="P75"/>
      <c r="Q75"/>
      <c r="R75"/>
    </row>
    <row r="76" spans="3:18" x14ac:dyDescent="0.25">
      <c r="C76" s="49"/>
      <c r="D76" s="50"/>
      <c r="E76" s="50"/>
      <c r="F76" s="50"/>
      <c r="G76" s="50"/>
      <c r="H76" s="51"/>
      <c r="I76" s="52"/>
      <c r="J76" s="52"/>
      <c r="K76" s="52"/>
      <c r="L76"/>
      <c r="M76"/>
      <c r="N76"/>
      <c r="P76"/>
      <c r="Q76"/>
      <c r="R76"/>
    </row>
    <row r="77" spans="3:18" x14ac:dyDescent="0.25">
      <c r="C77" s="49"/>
      <c r="D77" s="50"/>
      <c r="E77" s="50"/>
      <c r="F77" s="50"/>
      <c r="G77" s="50"/>
      <c r="H77" s="51"/>
      <c r="I77" s="52"/>
      <c r="J77" s="52"/>
      <c r="K77" s="52"/>
      <c r="L77"/>
      <c r="M77"/>
      <c r="N77"/>
      <c r="P77"/>
      <c r="Q77"/>
      <c r="R77"/>
    </row>
    <row r="78" spans="3:18" x14ac:dyDescent="0.25">
      <c r="C78" s="49"/>
      <c r="D78" s="50"/>
      <c r="E78" s="50"/>
      <c r="F78" s="50"/>
      <c r="G78" s="50"/>
      <c r="H78" s="51"/>
      <c r="I78" s="52"/>
      <c r="J78" s="52"/>
      <c r="K78" s="52"/>
      <c r="L78"/>
      <c r="M78"/>
      <c r="N78"/>
      <c r="P78"/>
      <c r="Q78"/>
      <c r="R78"/>
    </row>
    <row r="79" spans="3:18" x14ac:dyDescent="0.25">
      <c r="C79" s="49"/>
      <c r="D79" s="50"/>
      <c r="E79" s="50"/>
      <c r="F79" s="50"/>
      <c r="G79" s="50"/>
      <c r="H79" s="51"/>
      <c r="I79" s="52"/>
      <c r="J79" s="52"/>
      <c r="K79" s="52"/>
      <c r="L79"/>
      <c r="M79"/>
      <c r="N79"/>
      <c r="P79"/>
      <c r="Q79"/>
      <c r="R79"/>
    </row>
    <row r="80" spans="3:18" x14ac:dyDescent="0.25">
      <c r="C80" s="49"/>
      <c r="D80" s="50"/>
      <c r="E80" s="50"/>
      <c r="F80" s="50"/>
      <c r="G80" s="50"/>
      <c r="H80" s="51"/>
      <c r="I80" s="52"/>
      <c r="J80" s="52"/>
      <c r="K80" s="52"/>
      <c r="L80"/>
      <c r="M80"/>
      <c r="N80"/>
      <c r="P80"/>
      <c r="Q80"/>
      <c r="R80"/>
    </row>
    <row r="81" spans="3:18" x14ac:dyDescent="0.25">
      <c r="C81" s="49"/>
      <c r="D81" s="50"/>
      <c r="E81" s="50"/>
      <c r="F81" s="50"/>
      <c r="G81" s="50"/>
      <c r="H81" s="51"/>
      <c r="I81" s="52"/>
      <c r="J81" s="52"/>
      <c r="K81" s="52"/>
      <c r="L81"/>
      <c r="M81"/>
      <c r="N81"/>
      <c r="P81"/>
      <c r="Q81"/>
      <c r="R81"/>
    </row>
    <row r="82" spans="3:18" x14ac:dyDescent="0.25">
      <c r="C82" s="49"/>
      <c r="D82" s="50"/>
      <c r="E82" s="50"/>
      <c r="F82" s="50"/>
      <c r="G82" s="50"/>
      <c r="H82" s="51"/>
      <c r="I82" s="52"/>
      <c r="J82" s="52"/>
      <c r="K82" s="52"/>
      <c r="L82"/>
      <c r="M82"/>
      <c r="N82"/>
      <c r="P82"/>
      <c r="Q82"/>
      <c r="R82"/>
    </row>
    <row r="83" spans="3:18" x14ac:dyDescent="0.25">
      <c r="C83" s="49"/>
      <c r="D83" s="50"/>
      <c r="E83" s="50"/>
      <c r="F83" s="50"/>
      <c r="G83" s="50"/>
      <c r="H83" s="51"/>
      <c r="I83" s="52"/>
      <c r="J83" s="52"/>
      <c r="K83" s="52"/>
      <c r="L83"/>
      <c r="M83"/>
      <c r="N83"/>
      <c r="P83"/>
      <c r="Q83"/>
      <c r="R83"/>
    </row>
    <row r="84" spans="3:18" x14ac:dyDescent="0.25">
      <c r="C84" s="49"/>
      <c r="D84" s="50"/>
      <c r="E84" s="50"/>
      <c r="F84" s="50"/>
      <c r="G84" s="50"/>
      <c r="H84" s="51"/>
      <c r="I84" s="52"/>
      <c r="J84" s="52"/>
      <c r="K84" s="52"/>
      <c r="L84"/>
      <c r="M84"/>
      <c r="N84"/>
      <c r="P84"/>
      <c r="Q84"/>
      <c r="R84"/>
    </row>
    <row r="85" spans="3:18" x14ac:dyDescent="0.25">
      <c r="C85" s="49"/>
      <c r="D85" s="50"/>
      <c r="E85" s="50"/>
      <c r="F85" s="50"/>
      <c r="G85" s="50"/>
      <c r="H85" s="51"/>
      <c r="I85" s="52"/>
      <c r="J85" s="52"/>
      <c r="K85" s="52"/>
      <c r="L85"/>
      <c r="M85"/>
      <c r="N85"/>
      <c r="P85"/>
      <c r="Q85"/>
      <c r="R85"/>
    </row>
    <row r="86" spans="3:18" x14ac:dyDescent="0.25">
      <c r="C86" s="49"/>
      <c r="D86" s="50"/>
      <c r="E86" s="50"/>
      <c r="F86" s="50"/>
      <c r="G86" s="50"/>
      <c r="H86" s="51"/>
      <c r="I86" s="52"/>
      <c r="J86" s="52"/>
      <c r="K86" s="52"/>
      <c r="L86"/>
      <c r="M86"/>
      <c r="N86"/>
      <c r="P86"/>
      <c r="Q86"/>
      <c r="R86"/>
    </row>
    <row r="87" spans="3:18" x14ac:dyDescent="0.25">
      <c r="C87" s="49"/>
      <c r="D87" s="50"/>
      <c r="E87" s="50"/>
      <c r="F87" s="50"/>
      <c r="G87" s="50"/>
      <c r="H87" s="51"/>
      <c r="I87" s="52"/>
      <c r="J87" s="52"/>
      <c r="K87" s="52"/>
      <c r="L87"/>
      <c r="M87"/>
      <c r="N87"/>
      <c r="P87"/>
      <c r="Q87"/>
      <c r="R87"/>
    </row>
    <row r="88" spans="3:18" x14ac:dyDescent="0.25">
      <c r="C88" s="49"/>
      <c r="D88" s="50"/>
      <c r="E88" s="50"/>
      <c r="F88" s="50"/>
      <c r="G88" s="50"/>
      <c r="H88" s="51"/>
      <c r="I88" s="52"/>
      <c r="J88" s="52"/>
      <c r="K88" s="52"/>
      <c r="L88"/>
      <c r="M88"/>
      <c r="N88"/>
      <c r="P88"/>
      <c r="Q88"/>
      <c r="R88"/>
    </row>
    <row r="89" spans="3:18" x14ac:dyDescent="0.25">
      <c r="C89" s="49"/>
      <c r="D89" s="50"/>
      <c r="E89" s="50"/>
      <c r="F89" s="50"/>
      <c r="G89" s="50"/>
      <c r="H89" s="51"/>
      <c r="I89" s="52"/>
      <c r="J89" s="52"/>
      <c r="K89" s="52"/>
      <c r="L89"/>
      <c r="M89"/>
      <c r="N89"/>
      <c r="P89"/>
      <c r="Q89"/>
      <c r="R89"/>
    </row>
    <row r="90" spans="3:18" x14ac:dyDescent="0.25">
      <c r="C90" s="49"/>
      <c r="D90" s="50"/>
      <c r="E90" s="50"/>
      <c r="F90" s="50"/>
      <c r="G90" s="50"/>
      <c r="H90" s="51"/>
      <c r="I90" s="52"/>
      <c r="J90" s="52"/>
      <c r="K90" s="52"/>
      <c r="L90"/>
      <c r="M90"/>
      <c r="N90"/>
      <c r="P90"/>
      <c r="Q90"/>
      <c r="R90"/>
    </row>
    <row r="91" spans="3:18" x14ac:dyDescent="0.25">
      <c r="C91" s="49"/>
      <c r="D91" s="50"/>
      <c r="E91" s="50"/>
      <c r="F91" s="50"/>
      <c r="G91" s="50"/>
      <c r="H91" s="51"/>
      <c r="I91" s="52"/>
      <c r="J91" s="52"/>
      <c r="K91" s="52"/>
      <c r="L91"/>
      <c r="M91"/>
      <c r="N91"/>
      <c r="P91"/>
      <c r="Q91"/>
      <c r="R91"/>
    </row>
    <row r="92" spans="3:18" x14ac:dyDescent="0.25">
      <c r="C92" s="49"/>
      <c r="D92" s="50"/>
      <c r="E92" s="50"/>
      <c r="F92" s="50"/>
      <c r="G92" s="50"/>
      <c r="H92" s="51"/>
      <c r="I92" s="52"/>
      <c r="J92" s="52"/>
      <c r="K92" s="52"/>
      <c r="L92"/>
      <c r="M92"/>
      <c r="N92"/>
      <c r="P92"/>
      <c r="Q92"/>
      <c r="R92"/>
    </row>
    <row r="93" spans="3:18" x14ac:dyDescent="0.25">
      <c r="C93" s="49"/>
      <c r="D93" s="50"/>
      <c r="E93" s="50"/>
      <c r="F93" s="50"/>
      <c r="G93" s="50"/>
      <c r="H93" s="51"/>
      <c r="I93" s="52"/>
      <c r="J93" s="52"/>
      <c r="K93" s="52"/>
      <c r="L93"/>
      <c r="M93"/>
      <c r="N93"/>
      <c r="P93"/>
      <c r="Q93"/>
      <c r="R93"/>
    </row>
    <row r="94" spans="3:18" x14ac:dyDescent="0.25">
      <c r="C94" s="49"/>
      <c r="D94" s="50"/>
      <c r="E94" s="50"/>
      <c r="F94" s="50"/>
      <c r="G94" s="50"/>
      <c r="H94" s="51"/>
      <c r="I94" s="52"/>
      <c r="J94" s="52"/>
      <c r="K94" s="52"/>
      <c r="L94"/>
      <c r="M94"/>
      <c r="N94"/>
      <c r="P94"/>
      <c r="Q94"/>
      <c r="R94"/>
    </row>
    <row r="95" spans="3:18" x14ac:dyDescent="0.25">
      <c r="C95" s="49"/>
      <c r="D95" s="50"/>
      <c r="E95" s="50"/>
      <c r="F95" s="50"/>
      <c r="G95" s="50"/>
      <c r="H95" s="51"/>
      <c r="I95" s="52"/>
      <c r="J95" s="52"/>
      <c r="K95" s="52"/>
      <c r="L95"/>
      <c r="M95"/>
      <c r="N95"/>
      <c r="P95"/>
      <c r="Q95"/>
      <c r="R95"/>
    </row>
    <row r="96" spans="3:18" x14ac:dyDescent="0.25">
      <c r="C96" s="49"/>
      <c r="D96" s="50"/>
      <c r="E96" s="50"/>
      <c r="F96" s="50"/>
      <c r="G96" s="50"/>
      <c r="H96" s="51"/>
      <c r="I96" s="52"/>
      <c r="J96" s="52"/>
      <c r="K96" s="52"/>
      <c r="L96"/>
      <c r="M96"/>
      <c r="N96"/>
      <c r="P96"/>
      <c r="Q96"/>
      <c r="R96"/>
    </row>
    <row r="97" spans="3:18" x14ac:dyDescent="0.25">
      <c r="C97" s="49"/>
      <c r="D97" s="50"/>
      <c r="E97" s="50"/>
      <c r="F97" s="50"/>
      <c r="G97" s="50"/>
      <c r="H97" s="51"/>
      <c r="I97" s="52"/>
      <c r="J97" s="52"/>
      <c r="K97" s="52"/>
      <c r="L97"/>
      <c r="M97"/>
      <c r="N97"/>
      <c r="P97"/>
      <c r="Q97"/>
      <c r="R97"/>
    </row>
    <row r="98" spans="3:18" x14ac:dyDescent="0.25">
      <c r="C98" s="49"/>
      <c r="D98" s="50"/>
      <c r="E98" s="50"/>
      <c r="F98" s="50"/>
      <c r="G98" s="50"/>
      <c r="H98" s="51"/>
      <c r="I98" s="52"/>
      <c r="J98" s="52"/>
      <c r="K98" s="52"/>
      <c r="L98"/>
      <c r="M98"/>
      <c r="N98"/>
      <c r="P98"/>
      <c r="Q98"/>
      <c r="R98"/>
    </row>
    <row r="99" spans="3:18" x14ac:dyDescent="0.25">
      <c r="C99" s="49"/>
      <c r="D99" s="50"/>
      <c r="E99" s="50"/>
      <c r="F99" s="50"/>
      <c r="G99" s="50"/>
      <c r="H99" s="51"/>
      <c r="I99" s="52"/>
      <c r="J99" s="52"/>
      <c r="K99" s="52"/>
      <c r="L99"/>
      <c r="M99"/>
      <c r="N99"/>
      <c r="P99"/>
      <c r="Q99"/>
      <c r="R99"/>
    </row>
    <row r="100" spans="3:18" x14ac:dyDescent="0.25">
      <c r="C100" s="49"/>
      <c r="D100" s="50"/>
      <c r="E100" s="50"/>
      <c r="F100" s="50"/>
      <c r="G100" s="50"/>
      <c r="H100" s="51"/>
      <c r="I100" s="52"/>
      <c r="J100" s="52"/>
      <c r="K100" s="52"/>
      <c r="L100"/>
      <c r="M100"/>
      <c r="N100"/>
      <c r="P100"/>
      <c r="Q100"/>
      <c r="R100"/>
    </row>
    <row r="101" spans="3:18" x14ac:dyDescent="0.25">
      <c r="C101" s="49"/>
      <c r="D101" s="50"/>
      <c r="E101" s="50"/>
      <c r="F101" s="50"/>
      <c r="G101" s="50"/>
      <c r="H101" s="51"/>
      <c r="I101" s="52"/>
      <c r="J101" s="52"/>
      <c r="K101" s="52"/>
      <c r="L101"/>
      <c r="M101"/>
      <c r="N101"/>
      <c r="P101"/>
      <c r="Q101"/>
      <c r="R101"/>
    </row>
    <row r="102" spans="3:18" x14ac:dyDescent="0.25">
      <c r="C102" s="49"/>
      <c r="D102" s="50"/>
      <c r="E102" s="50"/>
      <c r="F102" s="50"/>
      <c r="G102" s="50"/>
      <c r="H102" s="51"/>
      <c r="I102" s="52"/>
      <c r="J102" s="52"/>
      <c r="K102" s="52"/>
      <c r="L102"/>
      <c r="M102"/>
      <c r="N102"/>
      <c r="P102"/>
      <c r="Q102"/>
      <c r="R102"/>
    </row>
    <row r="103" spans="3:18" x14ac:dyDescent="0.25">
      <c r="C103" s="49"/>
      <c r="D103" s="50"/>
      <c r="E103" s="50"/>
      <c r="F103" s="50"/>
      <c r="G103" s="50"/>
      <c r="H103" s="51"/>
      <c r="I103" s="52"/>
      <c r="J103" s="52"/>
      <c r="K103" s="52"/>
      <c r="L103"/>
      <c r="M103"/>
      <c r="N103"/>
      <c r="P103"/>
      <c r="Q103"/>
      <c r="R103"/>
    </row>
    <row r="104" spans="3:18" x14ac:dyDescent="0.25">
      <c r="C104" s="49"/>
      <c r="D104" s="50"/>
      <c r="E104" s="50"/>
      <c r="F104" s="50"/>
      <c r="G104" s="50"/>
      <c r="H104" s="51"/>
      <c r="I104" s="52"/>
      <c r="J104" s="52"/>
      <c r="K104" s="52"/>
      <c r="L104"/>
      <c r="M104"/>
      <c r="N104"/>
      <c r="P104"/>
      <c r="Q104"/>
      <c r="R104"/>
    </row>
    <row r="105" spans="3:18" x14ac:dyDescent="0.25">
      <c r="C105" s="49"/>
      <c r="D105" s="50"/>
      <c r="E105" s="50"/>
      <c r="F105" s="50"/>
      <c r="G105" s="50"/>
      <c r="H105" s="51"/>
      <c r="I105" s="52"/>
      <c r="J105" s="52"/>
      <c r="K105" s="52"/>
      <c r="L105"/>
      <c r="M105"/>
      <c r="N105"/>
      <c r="P105"/>
      <c r="Q105"/>
      <c r="R105"/>
    </row>
    <row r="106" spans="3:18" x14ac:dyDescent="0.25">
      <c r="C106" s="49"/>
      <c r="D106" s="50"/>
      <c r="E106" s="50"/>
      <c r="F106" s="50"/>
      <c r="G106" s="50"/>
      <c r="H106" s="51"/>
      <c r="I106" s="52"/>
      <c r="J106" s="52"/>
      <c r="K106" s="52"/>
      <c r="L106"/>
      <c r="M106"/>
      <c r="N106"/>
      <c r="P106"/>
      <c r="Q106"/>
      <c r="R106"/>
    </row>
    <row r="107" spans="3:18" x14ac:dyDescent="0.25">
      <c r="C107" s="49"/>
      <c r="D107" s="50"/>
      <c r="E107" s="50"/>
      <c r="F107" s="50"/>
      <c r="G107" s="50"/>
      <c r="H107" s="51"/>
      <c r="I107" s="52"/>
      <c r="J107" s="52"/>
      <c r="K107" s="52"/>
      <c r="L107"/>
      <c r="M107"/>
      <c r="N107"/>
      <c r="P107"/>
      <c r="Q107"/>
      <c r="R107"/>
    </row>
    <row r="108" spans="3:18" x14ac:dyDescent="0.25">
      <c r="C108" s="49"/>
      <c r="D108" s="50"/>
      <c r="E108" s="50"/>
      <c r="F108" s="50"/>
      <c r="G108" s="50"/>
      <c r="H108" s="51"/>
      <c r="I108" s="52"/>
      <c r="J108" s="52"/>
      <c r="K108" s="52"/>
      <c r="L108"/>
      <c r="M108"/>
      <c r="N108"/>
      <c r="P108"/>
      <c r="Q108"/>
      <c r="R108"/>
    </row>
  </sheetData>
  <sheetProtection password="EFEB" sheet="1" objects="1" scenarios="1"/>
  <mergeCells count="6">
    <mergeCell ref="B2:R2"/>
    <mergeCell ref="I4:K4"/>
    <mergeCell ref="D27:J27"/>
    <mergeCell ref="D29:J29"/>
    <mergeCell ref="L3:N3"/>
    <mergeCell ref="P3:R3"/>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dimension ref="B1:AJ99"/>
  <sheetViews>
    <sheetView workbookViewId="0">
      <selection activeCell="E19" sqref="E19"/>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2" width="16.42578125" style="4" customWidth="1"/>
    <col min="13" max="13" width="14.42578125" style="4" customWidth="1"/>
    <col min="14" max="14" width="13"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3" width="16.42578125" customWidth="1"/>
    <col min="264" max="264" width="13"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19" width="16.42578125" customWidth="1"/>
    <col min="520" max="520" width="13"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5" width="16.42578125" customWidth="1"/>
    <col min="776" max="776" width="13"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1" width="16.42578125" customWidth="1"/>
    <col min="1032" max="1032" width="13"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7" width="16.42578125" customWidth="1"/>
    <col min="1288" max="1288" width="13"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3" width="16.42578125" customWidth="1"/>
    <col min="1544" max="1544" width="13"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799" width="16.42578125" customWidth="1"/>
    <col min="1800" max="1800" width="13"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5" width="16.42578125" customWidth="1"/>
    <col min="2056" max="2056" width="13"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1" width="16.42578125" customWidth="1"/>
    <col min="2312" max="2312" width="13"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7" width="16.42578125" customWidth="1"/>
    <col min="2568" max="2568" width="13"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3" width="16.42578125" customWidth="1"/>
    <col min="2824" max="2824" width="13"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79" width="16.42578125" customWidth="1"/>
    <col min="3080" max="3080" width="13"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5" width="16.42578125" customWidth="1"/>
    <col min="3336" max="3336" width="13"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1" width="16.42578125" customWidth="1"/>
    <col min="3592" max="3592" width="13"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7" width="16.42578125" customWidth="1"/>
    <col min="3848" max="3848" width="13"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3" width="16.42578125" customWidth="1"/>
    <col min="4104" max="4104" width="13"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59" width="16.42578125" customWidth="1"/>
    <col min="4360" max="4360" width="13"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5" width="16.42578125" customWidth="1"/>
    <col min="4616" max="4616" width="13"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1" width="16.42578125" customWidth="1"/>
    <col min="4872" max="4872" width="13"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7" width="16.42578125" customWidth="1"/>
    <col min="5128" max="5128" width="13"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3" width="16.42578125" customWidth="1"/>
    <col min="5384" max="5384" width="13"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39" width="16.42578125" customWidth="1"/>
    <col min="5640" max="5640" width="13"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5" width="16.42578125" customWidth="1"/>
    <col min="5896" max="5896" width="13"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1" width="16.42578125" customWidth="1"/>
    <col min="6152" max="6152" width="13"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7" width="16.42578125" customWidth="1"/>
    <col min="6408" max="6408" width="13"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3" width="16.42578125" customWidth="1"/>
    <col min="6664" max="6664" width="13"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19" width="16.42578125" customWidth="1"/>
    <col min="6920" max="6920" width="13"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5" width="16.42578125" customWidth="1"/>
    <col min="7176" max="7176" width="13"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1" width="16.42578125" customWidth="1"/>
    <col min="7432" max="7432" width="13"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7" width="16.42578125" customWidth="1"/>
    <col min="7688" max="7688" width="13"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3" width="16.42578125" customWidth="1"/>
    <col min="7944" max="7944" width="13"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199" width="16.42578125" customWidth="1"/>
    <col min="8200" max="8200" width="13"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5" width="16.42578125" customWidth="1"/>
    <col min="8456" max="8456" width="13"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1" width="16.42578125" customWidth="1"/>
    <col min="8712" max="8712" width="13"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7" width="16.42578125" customWidth="1"/>
    <col min="8968" max="8968" width="13"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3" width="16.42578125" customWidth="1"/>
    <col min="9224" max="9224" width="13"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79" width="16.42578125" customWidth="1"/>
    <col min="9480" max="9480" width="13"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5" width="16.42578125" customWidth="1"/>
    <col min="9736" max="9736" width="13"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1" width="16.42578125" customWidth="1"/>
    <col min="9992" max="9992" width="13"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7" width="16.42578125" customWidth="1"/>
    <col min="10248" max="10248" width="13"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3" width="16.42578125" customWidth="1"/>
    <col min="10504" max="10504" width="13"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59" width="16.42578125" customWidth="1"/>
    <col min="10760" max="10760" width="13"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5" width="16.42578125" customWidth="1"/>
    <col min="11016" max="11016" width="13"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1" width="16.42578125" customWidth="1"/>
    <col min="11272" max="11272" width="13"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7" width="16.42578125" customWidth="1"/>
    <col min="11528" max="11528" width="13"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3" width="16.42578125" customWidth="1"/>
    <col min="11784" max="11784" width="13"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39" width="16.42578125" customWidth="1"/>
    <col min="12040" max="12040" width="13"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5" width="16.42578125" customWidth="1"/>
    <col min="12296" max="12296" width="13"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1" width="16.42578125" customWidth="1"/>
    <col min="12552" max="12552" width="13"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7" width="16.42578125" customWidth="1"/>
    <col min="12808" max="12808" width="13"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3" width="16.42578125" customWidth="1"/>
    <col min="13064" max="13064" width="13"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19" width="16.42578125" customWidth="1"/>
    <col min="13320" max="13320" width="13"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5" width="16.42578125" customWidth="1"/>
    <col min="13576" max="13576" width="13"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1" width="16.42578125" customWidth="1"/>
    <col min="13832" max="13832" width="13"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7" width="16.42578125" customWidth="1"/>
    <col min="14088" max="14088" width="13"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3" width="16.42578125" customWidth="1"/>
    <col min="14344" max="14344" width="13"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599" width="16.42578125" customWidth="1"/>
    <col min="14600" max="14600" width="13"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5" width="16.42578125" customWidth="1"/>
    <col min="14856" max="14856" width="13"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1" width="16.42578125" customWidth="1"/>
    <col min="15112" max="15112" width="13"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7" width="16.42578125" customWidth="1"/>
    <col min="15368" max="15368" width="13"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3" width="16.42578125" customWidth="1"/>
    <col min="15624" max="15624" width="13"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79" width="16.42578125" customWidth="1"/>
    <col min="15880" max="15880" width="13"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5" width="16.42578125" customWidth="1"/>
    <col min="16136" max="16136" width="13"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1" spans="2:36" s="7" customFormat="1" ht="18.75" thickBot="1" x14ac:dyDescent="0.3">
      <c r="B1" s="287" t="s">
        <v>604</v>
      </c>
      <c r="C1" s="287"/>
      <c r="D1" s="287"/>
      <c r="E1" s="287"/>
      <c r="F1" s="287"/>
      <c r="G1" s="287"/>
      <c r="H1" s="287"/>
      <c r="I1" s="287"/>
      <c r="J1" s="287"/>
      <c r="K1" s="287"/>
      <c r="L1" s="296"/>
      <c r="M1" s="296"/>
      <c r="N1" s="296"/>
      <c r="O1" s="296"/>
      <c r="P1" s="296"/>
      <c r="Q1" s="296"/>
      <c r="R1" s="296"/>
      <c r="S1" s="8"/>
      <c r="T1" s="8"/>
      <c r="U1" s="8"/>
      <c r="V1" s="8"/>
      <c r="W1" s="8"/>
      <c r="X1" s="8"/>
      <c r="Y1" s="8"/>
      <c r="Z1" s="8"/>
      <c r="AA1" s="8"/>
      <c r="AB1" s="8"/>
      <c r="AC1" s="8"/>
      <c r="AD1" s="8"/>
      <c r="AE1" s="8"/>
      <c r="AF1" s="8"/>
      <c r="AG1" s="8"/>
      <c r="AH1" s="8"/>
      <c r="AI1" s="8"/>
      <c r="AJ1" s="8"/>
    </row>
    <row r="2" spans="2:36" s="7" customFormat="1" ht="32.25" customHeight="1" thickBot="1" x14ac:dyDescent="0.3">
      <c r="B2" s="146"/>
      <c r="C2" s="146"/>
      <c r="D2" s="146"/>
      <c r="E2" s="146"/>
      <c r="F2" s="146"/>
      <c r="G2" s="146"/>
      <c r="H2" s="146"/>
      <c r="I2" s="146"/>
      <c r="J2" s="146"/>
      <c r="K2" s="147"/>
      <c r="L2" s="290" t="s">
        <v>310</v>
      </c>
      <c r="M2" s="291"/>
      <c r="N2" s="292"/>
      <c r="O2" s="94" t="s">
        <v>317</v>
      </c>
      <c r="P2" s="291" t="s">
        <v>318</v>
      </c>
      <c r="Q2" s="291"/>
      <c r="R2" s="292"/>
      <c r="S2" s="8"/>
      <c r="T2" s="8"/>
      <c r="U2" s="8"/>
      <c r="V2" s="8"/>
      <c r="W2" s="8"/>
      <c r="X2" s="8"/>
      <c r="Y2" s="8"/>
      <c r="Z2" s="8"/>
      <c r="AA2" s="8"/>
      <c r="AB2" s="8"/>
      <c r="AC2" s="8"/>
      <c r="AD2" s="8"/>
      <c r="AE2" s="8"/>
      <c r="AF2" s="8"/>
      <c r="AG2" s="8"/>
      <c r="AH2" s="8"/>
      <c r="AI2" s="8"/>
      <c r="AJ2" s="8"/>
    </row>
    <row r="3" spans="2:36" ht="26.25" thickBot="1" x14ac:dyDescent="0.3">
      <c r="B3" s="110" t="s">
        <v>0</v>
      </c>
      <c r="C3" s="238" t="s">
        <v>573</v>
      </c>
      <c r="D3" s="111" t="s">
        <v>1</v>
      </c>
      <c r="E3" s="215" t="s">
        <v>463</v>
      </c>
      <c r="F3" s="218" t="s">
        <v>465</v>
      </c>
      <c r="G3" s="215" t="s">
        <v>464</v>
      </c>
      <c r="H3" s="111" t="s">
        <v>2</v>
      </c>
      <c r="I3" s="300" t="s">
        <v>3</v>
      </c>
      <c r="J3" s="298"/>
      <c r="K3" s="301"/>
      <c r="L3" s="112" t="s">
        <v>311</v>
      </c>
      <c r="M3" s="113" t="s">
        <v>312</v>
      </c>
      <c r="N3" s="113" t="s">
        <v>313</v>
      </c>
      <c r="O3" s="114" t="s">
        <v>311</v>
      </c>
      <c r="P3" s="115" t="s">
        <v>4</v>
      </c>
      <c r="Q3" s="116" t="s">
        <v>5</v>
      </c>
      <c r="R3" s="117" t="s">
        <v>6</v>
      </c>
    </row>
    <row r="4" spans="2:36" s="17" customFormat="1" ht="33.75" x14ac:dyDescent="0.2">
      <c r="B4" s="118">
        <v>1</v>
      </c>
      <c r="C4" s="119" t="s">
        <v>217</v>
      </c>
      <c r="D4" s="122" t="s">
        <v>218</v>
      </c>
      <c r="E4" s="122" t="s">
        <v>605</v>
      </c>
      <c r="F4" s="192" t="s">
        <v>597</v>
      </c>
      <c r="G4" s="120" t="str">
        <f>UPPER(F4)</f>
        <v>PARTICIPAÇÃO NO CURSO AUDITORIA DE OBRAS PÚBLICAS REALIZADO NOS DIAS 26/06/2018 A 27/06/2018</v>
      </c>
      <c r="H4" s="120" t="s">
        <v>9</v>
      </c>
      <c r="I4" s="121">
        <v>43252</v>
      </c>
      <c r="J4" s="122">
        <v>25</v>
      </c>
      <c r="K4" s="123">
        <v>27</v>
      </c>
      <c r="L4" s="148">
        <v>0</v>
      </c>
      <c r="M4" s="148">
        <v>0</v>
      </c>
      <c r="N4" s="148">
        <v>0</v>
      </c>
      <c r="O4" s="130">
        <v>0</v>
      </c>
      <c r="P4" s="125">
        <v>705.61</v>
      </c>
      <c r="Q4" s="126">
        <v>0</v>
      </c>
      <c r="R4" s="127">
        <f t="shared" ref="R4:R15" si="0">L4+M4+N4+O4+P4+Q4</f>
        <v>705.61</v>
      </c>
      <c r="S4" s="16"/>
      <c r="T4" s="16"/>
      <c r="U4" s="16"/>
      <c r="V4" s="16"/>
    </row>
    <row r="5" spans="2:36" s="17" customFormat="1" ht="33.75" x14ac:dyDescent="0.2">
      <c r="B5" s="99">
        <v>2</v>
      </c>
      <c r="C5" s="56" t="s">
        <v>219</v>
      </c>
      <c r="D5" s="10" t="s">
        <v>220</v>
      </c>
      <c r="E5" s="245" t="s">
        <v>511</v>
      </c>
      <c r="F5" s="188" t="s">
        <v>598</v>
      </c>
      <c r="G5" s="9" t="str">
        <f>UPPER(F5)</f>
        <v>PARTICIPAR DO 1º ENCONTRO ENTRE PATROCINADORAS E INSTITUIDORES - BB PREVIDÊNCIA.</v>
      </c>
      <c r="H5" s="9" t="s">
        <v>9</v>
      </c>
      <c r="I5" s="18">
        <v>43252</v>
      </c>
      <c r="J5" s="10">
        <v>5</v>
      </c>
      <c r="K5" s="11">
        <v>6</v>
      </c>
      <c r="L5" s="58">
        <v>0</v>
      </c>
      <c r="M5" s="58">
        <v>97</v>
      </c>
      <c r="N5" s="58">
        <v>0</v>
      </c>
      <c r="O5" s="54">
        <f>25+47+49</f>
        <v>121</v>
      </c>
      <c r="P5" s="14">
        <v>0</v>
      </c>
      <c r="Q5" s="15">
        <v>0</v>
      </c>
      <c r="R5" s="98">
        <f t="shared" si="0"/>
        <v>218</v>
      </c>
      <c r="S5" s="16"/>
      <c r="T5" s="16"/>
      <c r="U5" s="16"/>
      <c r="V5" s="16"/>
    </row>
    <row r="6" spans="2:36" s="17" customFormat="1" ht="33.75" x14ac:dyDescent="0.2">
      <c r="B6" s="99">
        <v>3</v>
      </c>
      <c r="C6" s="56" t="s">
        <v>221</v>
      </c>
      <c r="D6" s="10" t="s">
        <v>72</v>
      </c>
      <c r="E6" s="10" t="s">
        <v>606</v>
      </c>
      <c r="F6" s="193" t="s">
        <v>599</v>
      </c>
      <c r="G6" s="9" t="str">
        <f t="shared" ref="G6:G15" si="1">UPPER(F6)</f>
        <v>PARTICIPAÇÃO NO EVENTO: DIÁLOGO PÚBLICO - A NOVA LEI DAS ESTATAIS: INTERPRETAÇÃO E APLICAÇÃO DO ART. 28 DA LEI 13.303/2016.</v>
      </c>
      <c r="H6" s="9" t="s">
        <v>9</v>
      </c>
      <c r="I6" s="18">
        <v>43252</v>
      </c>
      <c r="J6" s="10">
        <v>5</v>
      </c>
      <c r="K6" s="11">
        <v>5</v>
      </c>
      <c r="L6" s="58">
        <v>0</v>
      </c>
      <c r="M6" s="58">
        <v>0</v>
      </c>
      <c r="N6" s="58">
        <v>0</v>
      </c>
      <c r="O6" s="54">
        <f>36+53.38+50.92</f>
        <v>140.30000000000001</v>
      </c>
      <c r="P6" s="14">
        <v>667.81</v>
      </c>
      <c r="Q6" s="15">
        <v>0</v>
      </c>
      <c r="R6" s="98">
        <f t="shared" si="0"/>
        <v>808.1099999999999</v>
      </c>
      <c r="S6" s="16"/>
      <c r="T6" s="16"/>
      <c r="U6" s="16"/>
      <c r="V6" s="16"/>
    </row>
    <row r="7" spans="2:36" s="17" customFormat="1" ht="33.75" x14ac:dyDescent="0.2">
      <c r="B7" s="99">
        <v>4</v>
      </c>
      <c r="C7" s="56" t="s">
        <v>222</v>
      </c>
      <c r="D7" s="10" t="s">
        <v>223</v>
      </c>
      <c r="E7" s="245" t="s">
        <v>607</v>
      </c>
      <c r="F7" s="193" t="s">
        <v>599</v>
      </c>
      <c r="G7" s="9" t="str">
        <f t="shared" si="1"/>
        <v>PARTICIPAÇÃO NO EVENTO: DIÁLOGO PÚBLICO - A NOVA LEI DAS ESTATAIS: INTERPRETAÇÃO E APLICAÇÃO DO ART. 28 DA LEI 13.303/2016.</v>
      </c>
      <c r="H7" s="9" t="s">
        <v>9</v>
      </c>
      <c r="I7" s="18">
        <v>43252</v>
      </c>
      <c r="J7" s="10">
        <v>5</v>
      </c>
      <c r="K7" s="11">
        <v>5</v>
      </c>
      <c r="L7" s="58">
        <v>0</v>
      </c>
      <c r="M7" s="58">
        <v>0</v>
      </c>
      <c r="N7" s="58">
        <v>0</v>
      </c>
      <c r="O7" s="54">
        <f>38+55.99</f>
        <v>93.990000000000009</v>
      </c>
      <c r="P7" s="14">
        <f>747.81</f>
        <v>747.81</v>
      </c>
      <c r="Q7" s="15">
        <v>0</v>
      </c>
      <c r="R7" s="98">
        <f t="shared" si="0"/>
        <v>841.8</v>
      </c>
      <c r="S7" s="16"/>
      <c r="T7" s="16"/>
      <c r="U7" s="16"/>
      <c r="V7" s="16"/>
    </row>
    <row r="8" spans="2:36" s="17" customFormat="1" ht="22.5" x14ac:dyDescent="0.2">
      <c r="B8" s="99">
        <v>5</v>
      </c>
      <c r="C8" s="57" t="s">
        <v>224</v>
      </c>
      <c r="D8" s="10" t="s">
        <v>11</v>
      </c>
      <c r="E8" s="10" t="s">
        <v>501</v>
      </c>
      <c r="F8" s="193" t="s">
        <v>600</v>
      </c>
      <c r="G8" s="9" t="str">
        <f t="shared" si="1"/>
        <v>PARTICIPAR DE REUNIÃO NO  TCU COM O  MINISTRO AROLDO CEDRAZ.</v>
      </c>
      <c r="H8" s="9" t="s">
        <v>9</v>
      </c>
      <c r="I8" s="18">
        <v>43252</v>
      </c>
      <c r="J8" s="10">
        <v>5</v>
      </c>
      <c r="K8" s="11">
        <v>5</v>
      </c>
      <c r="L8" s="58">
        <v>0</v>
      </c>
      <c r="M8" s="58">
        <v>80.400000000000006</v>
      </c>
      <c r="N8" s="58">
        <v>0</v>
      </c>
      <c r="O8" s="54">
        <v>0</v>
      </c>
      <c r="P8" s="14">
        <f>1236.68+423.03</f>
        <v>1659.71</v>
      </c>
      <c r="Q8" s="15">
        <v>500</v>
      </c>
      <c r="R8" s="98">
        <f t="shared" si="0"/>
        <v>2240.11</v>
      </c>
      <c r="S8" s="16"/>
      <c r="T8" s="16"/>
      <c r="U8" s="16"/>
      <c r="V8" s="16"/>
    </row>
    <row r="9" spans="2:36" s="17" customFormat="1" ht="33.75" x14ac:dyDescent="0.2">
      <c r="B9" s="99">
        <v>6</v>
      </c>
      <c r="C9" s="56" t="s">
        <v>225</v>
      </c>
      <c r="D9" s="10" t="s">
        <v>13</v>
      </c>
      <c r="E9" s="245" t="s">
        <v>513</v>
      </c>
      <c r="F9" s="188" t="s">
        <v>598</v>
      </c>
      <c r="G9" s="9" t="str">
        <f t="shared" si="1"/>
        <v>PARTICIPAR DO 1º ENCONTRO ENTRE PATROCINADORAS E INSTITUIDORES - BB PREVIDÊNCIA.</v>
      </c>
      <c r="H9" s="9" t="s">
        <v>9</v>
      </c>
      <c r="I9" s="18">
        <v>43252</v>
      </c>
      <c r="J9" s="10">
        <v>5</v>
      </c>
      <c r="K9" s="11">
        <v>6</v>
      </c>
      <c r="L9" s="58">
        <v>53</v>
      </c>
      <c r="M9" s="58">
        <v>89.65</v>
      </c>
      <c r="N9" s="58">
        <v>0</v>
      </c>
      <c r="O9" s="54">
        <v>0</v>
      </c>
      <c r="P9" s="14">
        <v>0</v>
      </c>
      <c r="Q9" s="15">
        <v>0</v>
      </c>
      <c r="R9" s="98">
        <f t="shared" si="0"/>
        <v>142.65</v>
      </c>
      <c r="S9" s="16"/>
      <c r="T9" s="16"/>
      <c r="U9" s="16"/>
      <c r="V9" s="16"/>
    </row>
    <row r="10" spans="2:36" s="17" customFormat="1" ht="12.75" x14ac:dyDescent="0.2">
      <c r="B10" s="99">
        <v>7</v>
      </c>
      <c r="C10" s="57" t="s">
        <v>226</v>
      </c>
      <c r="D10" s="10" t="s">
        <v>23</v>
      </c>
      <c r="E10" s="10" t="s">
        <v>478</v>
      </c>
      <c r="F10" s="194" t="s">
        <v>469</v>
      </c>
      <c r="G10" s="9" t="str">
        <f t="shared" si="1"/>
        <v>REUNIÃO DO CONSELHO DIRETOR.</v>
      </c>
      <c r="H10" s="10" t="s">
        <v>24</v>
      </c>
      <c r="I10" s="18">
        <v>43252</v>
      </c>
      <c r="J10" s="10">
        <v>18</v>
      </c>
      <c r="K10" s="11">
        <v>18</v>
      </c>
      <c r="L10" s="58">
        <v>0</v>
      </c>
      <c r="M10" s="58">
        <v>0</v>
      </c>
      <c r="N10" s="58">
        <v>0</v>
      </c>
      <c r="O10" s="54">
        <v>0</v>
      </c>
      <c r="P10" s="14">
        <v>1475.61</v>
      </c>
      <c r="Q10" s="15">
        <v>0</v>
      </c>
      <c r="R10" s="98">
        <f t="shared" si="0"/>
        <v>1475.61</v>
      </c>
      <c r="S10" s="16"/>
      <c r="T10" s="16"/>
      <c r="U10" s="16"/>
      <c r="V10" s="16"/>
    </row>
    <row r="11" spans="2:36" s="17" customFormat="1" ht="12.75" x14ac:dyDescent="0.2">
      <c r="B11" s="99">
        <v>8</v>
      </c>
      <c r="C11" s="56" t="s">
        <v>227</v>
      </c>
      <c r="D11" s="10" t="s">
        <v>114</v>
      </c>
      <c r="E11" s="10" t="s">
        <v>483</v>
      </c>
      <c r="F11" s="195" t="s">
        <v>601</v>
      </c>
      <c r="G11" s="9" t="str">
        <f t="shared" si="1"/>
        <v>REUNIÃO DO CONSELHO FISCAL.</v>
      </c>
      <c r="H11" s="9" t="s">
        <v>24</v>
      </c>
      <c r="I11" s="18">
        <v>43252</v>
      </c>
      <c r="J11" s="10">
        <v>20</v>
      </c>
      <c r="K11" s="11">
        <v>22</v>
      </c>
      <c r="L11" s="58">
        <v>0</v>
      </c>
      <c r="M11" s="58">
        <v>339.84</v>
      </c>
      <c r="N11" s="58">
        <v>0</v>
      </c>
      <c r="O11" s="54">
        <v>18</v>
      </c>
      <c r="P11" s="14">
        <v>839.61</v>
      </c>
      <c r="Q11" s="15">
        <f>514.8+7.59</f>
        <v>522.39</v>
      </c>
      <c r="R11" s="98">
        <f t="shared" si="0"/>
        <v>1719.8400000000001</v>
      </c>
      <c r="S11" s="16"/>
      <c r="T11" s="16"/>
      <c r="U11" s="16"/>
      <c r="V11" s="16"/>
    </row>
    <row r="12" spans="2:36" s="17" customFormat="1" ht="12.75" x14ac:dyDescent="0.2">
      <c r="B12" s="99">
        <v>9</v>
      </c>
      <c r="C12" s="56" t="s">
        <v>228</v>
      </c>
      <c r="D12" s="10" t="s">
        <v>36</v>
      </c>
      <c r="E12" s="10" t="s">
        <v>483</v>
      </c>
      <c r="F12" s="195" t="s">
        <v>601</v>
      </c>
      <c r="G12" s="9" t="str">
        <f t="shared" si="1"/>
        <v>REUNIÃO DO CONSELHO FISCAL.</v>
      </c>
      <c r="H12" s="9" t="s">
        <v>24</v>
      </c>
      <c r="I12" s="18">
        <v>43252</v>
      </c>
      <c r="J12" s="10">
        <v>20</v>
      </c>
      <c r="K12" s="11">
        <v>22</v>
      </c>
      <c r="L12" s="58">
        <v>0</v>
      </c>
      <c r="M12" s="58">
        <v>339.84</v>
      </c>
      <c r="N12" s="58">
        <v>0</v>
      </c>
      <c r="O12" s="54">
        <v>165.84</v>
      </c>
      <c r="P12" s="14">
        <v>839.61</v>
      </c>
      <c r="Q12" s="15">
        <f>643.5+39.5</f>
        <v>683</v>
      </c>
      <c r="R12" s="98">
        <f t="shared" si="0"/>
        <v>2028.29</v>
      </c>
      <c r="S12" s="16"/>
      <c r="T12" s="16"/>
      <c r="U12" s="16"/>
      <c r="V12" s="16"/>
    </row>
    <row r="13" spans="2:36" s="17" customFormat="1" ht="12.75" x14ac:dyDescent="0.2">
      <c r="B13" s="99">
        <v>10</v>
      </c>
      <c r="C13" s="56" t="s">
        <v>229</v>
      </c>
      <c r="D13" s="10" t="s">
        <v>34</v>
      </c>
      <c r="E13" s="10" t="s">
        <v>483</v>
      </c>
      <c r="F13" s="195" t="s">
        <v>601</v>
      </c>
      <c r="G13" s="9" t="str">
        <f t="shared" si="1"/>
        <v>REUNIÃO DO CONSELHO FISCAL.</v>
      </c>
      <c r="H13" s="9" t="s">
        <v>24</v>
      </c>
      <c r="I13" s="18">
        <v>43252</v>
      </c>
      <c r="J13" s="10">
        <v>20</v>
      </c>
      <c r="K13" s="11">
        <v>22</v>
      </c>
      <c r="L13" s="58">
        <v>0</v>
      </c>
      <c r="M13" s="58">
        <v>324.02</v>
      </c>
      <c r="N13" s="58">
        <v>0</v>
      </c>
      <c r="O13" s="54">
        <f>30+15+12</f>
        <v>57</v>
      </c>
      <c r="P13" s="14">
        <v>839.61</v>
      </c>
      <c r="Q13" s="15">
        <f>514.8+32.5</f>
        <v>547.29999999999995</v>
      </c>
      <c r="R13" s="98">
        <f t="shared" si="0"/>
        <v>1767.93</v>
      </c>
      <c r="S13" s="16"/>
      <c r="T13" s="16"/>
      <c r="U13" s="16"/>
      <c r="V13" s="16"/>
    </row>
    <row r="14" spans="2:36" s="17" customFormat="1" ht="33.75" x14ac:dyDescent="0.2">
      <c r="B14" s="99">
        <v>11</v>
      </c>
      <c r="C14" s="56" t="s">
        <v>231</v>
      </c>
      <c r="D14" s="10" t="s">
        <v>232</v>
      </c>
      <c r="E14" s="10" t="s">
        <v>591</v>
      </c>
      <c r="F14" s="193" t="s">
        <v>602</v>
      </c>
      <c r="G14" s="9" t="str">
        <f t="shared" si="1"/>
        <v>PARTICIPAR COMO PALESTRANTE NA AULA INAUGURAL DO MESTRADO PROFISSIONAL EM PESQUISA CLÍNICA NA TERCEIRA TURMA.</v>
      </c>
      <c r="H14" s="9" t="s">
        <v>233</v>
      </c>
      <c r="I14" s="18">
        <v>43313</v>
      </c>
      <c r="J14" s="10">
        <v>1</v>
      </c>
      <c r="K14" s="11">
        <v>3</v>
      </c>
      <c r="L14" s="58"/>
      <c r="M14" s="58">
        <v>0</v>
      </c>
      <c r="N14" s="58">
        <v>0</v>
      </c>
      <c r="O14" s="54">
        <v>0</v>
      </c>
      <c r="P14" s="14">
        <f>739.57+434.68+470</f>
        <v>1644.25</v>
      </c>
      <c r="Q14" s="15">
        <f>477.4+127.08</f>
        <v>604.48</v>
      </c>
      <c r="R14" s="98">
        <f t="shared" si="0"/>
        <v>2248.73</v>
      </c>
      <c r="S14" s="16"/>
      <c r="T14" s="16"/>
      <c r="U14" s="16"/>
      <c r="V14" s="16"/>
    </row>
    <row r="15" spans="2:36" s="17" customFormat="1" ht="13.5" thickBot="1" x14ac:dyDescent="0.25">
      <c r="B15" s="100">
        <v>12</v>
      </c>
      <c r="C15" s="101" t="s">
        <v>234</v>
      </c>
      <c r="D15" s="104" t="s">
        <v>132</v>
      </c>
      <c r="E15" s="102" t="s">
        <v>540</v>
      </c>
      <c r="F15" s="246" t="s">
        <v>603</v>
      </c>
      <c r="G15" s="102" t="str">
        <f t="shared" si="1"/>
        <v>ASSEMBLÉIA GERAL.</v>
      </c>
      <c r="H15" s="102" t="s">
        <v>24</v>
      </c>
      <c r="I15" s="103">
        <v>43282</v>
      </c>
      <c r="J15" s="104">
        <v>1</v>
      </c>
      <c r="K15" s="105">
        <v>2</v>
      </c>
      <c r="L15" s="149">
        <v>73.98</v>
      </c>
      <c r="M15" s="149">
        <v>0</v>
      </c>
      <c r="N15" s="149">
        <v>0</v>
      </c>
      <c r="O15" s="106">
        <v>0</v>
      </c>
      <c r="P15" s="107">
        <f>982.03+1268.68</f>
        <v>2250.71</v>
      </c>
      <c r="Q15" s="108">
        <f>242+150.48</f>
        <v>392.48</v>
      </c>
      <c r="R15" s="109">
        <f t="shared" si="0"/>
        <v>2717.17</v>
      </c>
      <c r="S15" s="16"/>
      <c r="T15" s="16"/>
      <c r="U15" s="16"/>
      <c r="V15" s="16"/>
    </row>
    <row r="16" spans="2:36" s="16" customFormat="1" ht="12" x14ac:dyDescent="0.2">
      <c r="B16" s="20"/>
      <c r="C16" s="21"/>
      <c r="D16" s="22"/>
      <c r="E16" s="22"/>
      <c r="F16" s="22"/>
      <c r="G16" s="22"/>
      <c r="H16" s="22"/>
      <c r="I16" s="23"/>
      <c r="J16" s="24"/>
      <c r="K16" s="25"/>
      <c r="L16" s="26"/>
      <c r="M16" s="26"/>
      <c r="N16" s="26"/>
      <c r="O16" s="27"/>
      <c r="P16" s="28"/>
      <c r="Q16" s="29"/>
      <c r="R16" s="30"/>
    </row>
    <row r="17" spans="3:18" s="31" customFormat="1" ht="15.75" x14ac:dyDescent="0.2">
      <c r="C17" s="32"/>
      <c r="D17" s="32"/>
      <c r="E17" s="32"/>
      <c r="F17" s="32"/>
      <c r="G17" s="32"/>
      <c r="H17" s="34"/>
      <c r="I17" s="32"/>
      <c r="J17" s="20"/>
      <c r="K17" s="33"/>
      <c r="L17" s="36">
        <f t="shared" ref="L17:Q17" si="2">SUM(L4:L15)</f>
        <v>126.98</v>
      </c>
      <c r="M17" s="36">
        <f t="shared" si="2"/>
        <v>1270.75</v>
      </c>
      <c r="N17" s="36">
        <f t="shared" si="2"/>
        <v>0</v>
      </c>
      <c r="O17" s="133">
        <f t="shared" si="2"/>
        <v>596.13</v>
      </c>
      <c r="P17" s="38">
        <f t="shared" si="2"/>
        <v>11670.34</v>
      </c>
      <c r="Q17" s="39">
        <f t="shared" si="2"/>
        <v>3249.6499999999996</v>
      </c>
      <c r="R17" s="37">
        <f>SUM(R4:R15)+O18</f>
        <v>16919.811299999998</v>
      </c>
    </row>
    <row r="18" spans="3:18" s="40" customFormat="1" ht="16.5" thickBot="1" x14ac:dyDescent="0.3">
      <c r="C18" s="41"/>
      <c r="D18" s="288"/>
      <c r="E18" s="288"/>
      <c r="F18" s="288"/>
      <c r="G18" s="288"/>
      <c r="H18" s="288"/>
      <c r="I18" s="288"/>
      <c r="J18" s="288"/>
      <c r="K18" s="42"/>
      <c r="L18" s="43"/>
      <c r="M18" s="43"/>
      <c r="N18" s="91" t="s">
        <v>315</v>
      </c>
      <c r="O18" s="27">
        <f>O17*1%</f>
        <v>5.9613000000000005</v>
      </c>
      <c r="R18" s="44"/>
    </row>
    <row r="19" spans="3:18" s="40" customFormat="1" ht="16.5" thickBot="1" x14ac:dyDescent="0.3">
      <c r="C19" s="41"/>
      <c r="D19" s="41"/>
      <c r="E19" s="41"/>
      <c r="F19" s="41"/>
      <c r="G19" s="41"/>
      <c r="H19" s="45"/>
      <c r="I19" s="41"/>
      <c r="J19" s="41"/>
      <c r="K19" s="42"/>
      <c r="L19" s="43"/>
      <c r="M19" s="43"/>
      <c r="N19" s="43"/>
      <c r="O19" s="93">
        <f>O17+O18</f>
        <v>602.09130000000005</v>
      </c>
      <c r="P19" s="46"/>
      <c r="Q19" s="44"/>
      <c r="R19" s="47" t="s">
        <v>50</v>
      </c>
    </row>
    <row r="20" spans="3:18" s="40" customFormat="1" x14ac:dyDescent="0.2">
      <c r="C20" s="41"/>
      <c r="D20" s="289"/>
      <c r="E20" s="289"/>
      <c r="F20" s="289"/>
      <c r="G20" s="289"/>
      <c r="H20" s="289"/>
      <c r="I20" s="289"/>
      <c r="J20" s="289"/>
      <c r="K20" s="42"/>
      <c r="L20" s="43"/>
      <c r="M20" s="43"/>
      <c r="N20" s="43"/>
      <c r="O20" s="27"/>
      <c r="P20" s="5" t="s">
        <v>49</v>
      </c>
      <c r="Q20" s="167">
        <f>L17+M17+N17+O19+P17+Q17</f>
        <v>16919.811300000001</v>
      </c>
      <c r="R20" s="48">
        <f>R17-Q20</f>
        <v>0</v>
      </c>
    </row>
    <row r="21" spans="3:18" ht="15.75" x14ac:dyDescent="0.25">
      <c r="C21" s="49"/>
      <c r="D21" s="50"/>
      <c r="E21" s="50"/>
      <c r="F21" s="50"/>
      <c r="G21" s="50"/>
      <c r="H21" s="51"/>
      <c r="I21" s="52"/>
      <c r="J21" s="52"/>
      <c r="K21" s="52"/>
      <c r="N21" s="91" t="s">
        <v>315</v>
      </c>
      <c r="O21" s="27" t="s">
        <v>316</v>
      </c>
    </row>
    <row r="22" spans="3:18" x14ac:dyDescent="0.25">
      <c r="C22" s="49"/>
      <c r="D22" s="50"/>
      <c r="E22" s="50"/>
      <c r="F22" s="50"/>
      <c r="G22" s="50"/>
      <c r="H22" s="51"/>
      <c r="I22" s="52"/>
      <c r="J22" s="52"/>
      <c r="K22" s="52"/>
      <c r="O22" s="27"/>
    </row>
    <row r="23" spans="3:18" x14ac:dyDescent="0.25">
      <c r="C23" s="49"/>
      <c r="D23" s="50"/>
      <c r="E23" s="50"/>
      <c r="F23" s="50"/>
      <c r="G23" s="50"/>
      <c r="H23" s="51"/>
      <c r="I23" s="52"/>
      <c r="J23" s="52"/>
      <c r="K23" s="52"/>
      <c r="O23" s="27"/>
    </row>
    <row r="24" spans="3:18" x14ac:dyDescent="0.25">
      <c r="C24" s="49"/>
      <c r="D24" s="50"/>
      <c r="E24" s="50"/>
      <c r="F24" s="50"/>
      <c r="G24" s="50"/>
      <c r="H24" s="51"/>
      <c r="I24" s="52"/>
      <c r="J24" s="52"/>
      <c r="K24" s="52"/>
      <c r="O24" s="27"/>
    </row>
    <row r="25" spans="3:18" x14ac:dyDescent="0.25">
      <c r="C25" s="49"/>
      <c r="D25" s="50"/>
      <c r="E25" s="50"/>
      <c r="F25" s="50"/>
      <c r="G25" s="50"/>
      <c r="H25" s="51"/>
      <c r="I25" s="52"/>
      <c r="J25" s="52"/>
      <c r="K25" s="52"/>
      <c r="O25" s="27"/>
    </row>
    <row r="26" spans="3:18" x14ac:dyDescent="0.25">
      <c r="C26" s="49"/>
      <c r="D26" s="50"/>
      <c r="E26" s="50"/>
      <c r="F26" s="50"/>
      <c r="G26" s="50"/>
      <c r="H26" s="51"/>
      <c r="I26" s="52"/>
      <c r="J26" s="52"/>
      <c r="K26" s="52"/>
      <c r="O26" s="27"/>
    </row>
    <row r="27" spans="3:18" x14ac:dyDescent="0.25">
      <c r="C27" s="49"/>
      <c r="D27" s="50"/>
      <c r="E27" s="50"/>
      <c r="F27" s="50"/>
      <c r="G27" s="50"/>
      <c r="H27" s="51"/>
      <c r="I27" s="52"/>
      <c r="J27" s="52"/>
      <c r="K27" s="52"/>
      <c r="O27" s="27"/>
      <c r="P27"/>
      <c r="Q27"/>
      <c r="R27"/>
    </row>
    <row r="28" spans="3:18" x14ac:dyDescent="0.25">
      <c r="C28" s="49"/>
      <c r="D28" s="50"/>
      <c r="E28" s="50"/>
      <c r="F28" s="50"/>
      <c r="G28" s="50"/>
      <c r="H28" s="51"/>
      <c r="I28" s="52"/>
      <c r="J28" s="52"/>
      <c r="K28" s="52"/>
      <c r="O28" s="27"/>
      <c r="P28"/>
      <c r="Q28"/>
      <c r="R28"/>
    </row>
    <row r="29" spans="3:18" x14ac:dyDescent="0.25">
      <c r="C29" s="49"/>
      <c r="H29" s="51"/>
      <c r="I29" s="52"/>
      <c r="J29" s="52"/>
      <c r="K29" s="52"/>
      <c r="O29" s="27"/>
      <c r="P29"/>
      <c r="Q29"/>
      <c r="R29"/>
    </row>
    <row r="30" spans="3:18" x14ac:dyDescent="0.25">
      <c r="C30" s="49"/>
      <c r="D30" s="50"/>
      <c r="E30" s="50"/>
      <c r="F30" s="50"/>
      <c r="G30" s="50"/>
      <c r="H30" s="51"/>
      <c r="I30" s="52"/>
      <c r="J30" s="52"/>
      <c r="K30" s="52"/>
      <c r="O30" s="27"/>
      <c r="P30"/>
      <c r="Q30"/>
      <c r="R30"/>
    </row>
    <row r="31" spans="3:18" x14ac:dyDescent="0.25">
      <c r="C31" s="49"/>
      <c r="D31" s="50"/>
      <c r="E31" s="50"/>
      <c r="F31" s="50"/>
      <c r="G31" s="50"/>
      <c r="H31" s="51"/>
      <c r="I31" s="52"/>
      <c r="J31" s="52"/>
      <c r="K31" s="52"/>
      <c r="O31" s="53"/>
      <c r="P31"/>
      <c r="Q31"/>
      <c r="R31"/>
    </row>
    <row r="32" spans="3:18" ht="15.75" x14ac:dyDescent="0.25">
      <c r="C32" s="49"/>
      <c r="D32" s="50"/>
      <c r="E32" s="50"/>
      <c r="F32" s="50"/>
      <c r="G32" s="50"/>
      <c r="H32" s="51"/>
      <c r="I32" s="52"/>
      <c r="J32" s="52"/>
      <c r="K32" s="52"/>
      <c r="O32" s="40"/>
      <c r="P32"/>
      <c r="Q32"/>
      <c r="R32"/>
    </row>
    <row r="33" spans="3:18" ht="15.75" x14ac:dyDescent="0.25">
      <c r="C33" s="49"/>
      <c r="D33" s="50"/>
      <c r="E33" s="50"/>
      <c r="F33" s="50"/>
      <c r="G33" s="50"/>
      <c r="H33" s="51"/>
      <c r="I33" s="52"/>
      <c r="J33" s="52"/>
      <c r="K33" s="52"/>
      <c r="O33" s="40"/>
      <c r="P33"/>
      <c r="Q33"/>
      <c r="R33"/>
    </row>
    <row r="34" spans="3:18" ht="15.75" x14ac:dyDescent="0.25">
      <c r="C34" s="49"/>
      <c r="D34" s="50"/>
      <c r="E34" s="50"/>
      <c r="F34" s="50"/>
      <c r="G34" s="50"/>
      <c r="H34" s="51"/>
      <c r="I34" s="52"/>
      <c r="J34" s="52"/>
      <c r="K34" s="52"/>
      <c r="O34" s="40"/>
      <c r="P34"/>
      <c r="Q34"/>
      <c r="R34"/>
    </row>
    <row r="35" spans="3:18" x14ac:dyDescent="0.25">
      <c r="C35" s="49"/>
      <c r="D35" s="50"/>
      <c r="E35" s="50"/>
      <c r="F35" s="50"/>
      <c r="G35" s="50"/>
      <c r="H35" s="51"/>
      <c r="I35" s="52"/>
      <c r="J35" s="52"/>
      <c r="K35" s="52"/>
      <c r="P35"/>
      <c r="Q35"/>
      <c r="R35"/>
    </row>
    <row r="36" spans="3:18" x14ac:dyDescent="0.25">
      <c r="C36" s="49"/>
      <c r="D36" s="50"/>
      <c r="E36" s="50"/>
      <c r="F36" s="50"/>
      <c r="G36" s="50"/>
      <c r="H36" s="51"/>
      <c r="I36" s="52"/>
      <c r="J36" s="52"/>
      <c r="K36" s="52"/>
      <c r="P36"/>
      <c r="Q36"/>
      <c r="R36"/>
    </row>
    <row r="37" spans="3:18" x14ac:dyDescent="0.25">
      <c r="C37" s="49"/>
      <c r="D37" s="50"/>
      <c r="E37" s="50"/>
      <c r="F37" s="50"/>
      <c r="G37" s="50"/>
      <c r="H37" s="51"/>
      <c r="I37" s="52"/>
      <c r="J37" s="52"/>
      <c r="K37" s="52"/>
      <c r="P37"/>
      <c r="Q37"/>
      <c r="R37"/>
    </row>
    <row r="38" spans="3:18" x14ac:dyDescent="0.25">
      <c r="C38" s="49"/>
      <c r="D38" s="50"/>
      <c r="E38" s="50"/>
      <c r="F38" s="50"/>
      <c r="G38" s="50"/>
      <c r="H38" s="51"/>
      <c r="I38" s="52"/>
      <c r="J38" s="52"/>
      <c r="K38" s="52"/>
      <c r="P38"/>
      <c r="Q38"/>
      <c r="R38"/>
    </row>
    <row r="39" spans="3:18" x14ac:dyDescent="0.25">
      <c r="C39" s="49"/>
      <c r="D39" s="50"/>
      <c r="E39" s="50"/>
      <c r="F39" s="50"/>
      <c r="G39" s="50"/>
      <c r="H39" s="51"/>
      <c r="I39" s="52"/>
      <c r="J39" s="52"/>
      <c r="K39" s="52"/>
      <c r="P39"/>
      <c r="Q39"/>
      <c r="R39"/>
    </row>
    <row r="40" spans="3:18" x14ac:dyDescent="0.25">
      <c r="C40" s="49"/>
      <c r="D40" s="50"/>
      <c r="E40" s="50"/>
      <c r="F40" s="50"/>
      <c r="G40" s="50"/>
      <c r="H40" s="51"/>
      <c r="I40" s="52"/>
      <c r="J40" s="52"/>
      <c r="K40" s="52"/>
      <c r="P40"/>
      <c r="Q40"/>
      <c r="R40"/>
    </row>
    <row r="41" spans="3:18" x14ac:dyDescent="0.25">
      <c r="C41" s="49"/>
      <c r="D41" s="50"/>
      <c r="E41" s="50"/>
      <c r="F41" s="50"/>
      <c r="G41" s="50"/>
      <c r="H41" s="51"/>
      <c r="I41" s="52"/>
      <c r="J41" s="52"/>
      <c r="K41" s="52"/>
      <c r="P41"/>
      <c r="Q41"/>
      <c r="R41"/>
    </row>
    <row r="42" spans="3:18" x14ac:dyDescent="0.25">
      <c r="C42" s="49"/>
      <c r="D42" s="50"/>
      <c r="E42" s="50"/>
      <c r="F42" s="50"/>
      <c r="G42" s="50"/>
      <c r="H42" s="51"/>
      <c r="I42" s="52"/>
      <c r="J42" s="52"/>
      <c r="K42" s="52"/>
      <c r="P42"/>
      <c r="Q42"/>
      <c r="R42"/>
    </row>
    <row r="43" spans="3:18" x14ac:dyDescent="0.25">
      <c r="C43" s="49"/>
      <c r="D43" s="50"/>
      <c r="E43" s="50"/>
      <c r="F43" s="50"/>
      <c r="G43" s="50"/>
      <c r="H43" s="51"/>
      <c r="I43" s="52"/>
      <c r="J43" s="52"/>
      <c r="K43" s="52"/>
      <c r="L43"/>
      <c r="M43"/>
      <c r="N43"/>
      <c r="P43"/>
      <c r="Q43"/>
      <c r="R43"/>
    </row>
    <row r="44" spans="3:18" x14ac:dyDescent="0.25">
      <c r="C44" s="49"/>
      <c r="D44" s="50"/>
      <c r="E44" s="50"/>
      <c r="F44" s="50"/>
      <c r="G44" s="50"/>
      <c r="H44" s="51"/>
      <c r="I44" s="52"/>
      <c r="J44" s="52"/>
      <c r="K44" s="52"/>
      <c r="L44"/>
      <c r="M44"/>
      <c r="N44"/>
      <c r="P44"/>
      <c r="Q44"/>
      <c r="R44"/>
    </row>
    <row r="45" spans="3:18" x14ac:dyDescent="0.25">
      <c r="C45" s="49"/>
      <c r="D45" s="50"/>
      <c r="E45" s="50"/>
      <c r="F45" s="50"/>
      <c r="G45" s="50"/>
      <c r="H45" s="51"/>
      <c r="I45" s="52"/>
      <c r="J45" s="52"/>
      <c r="K45" s="52"/>
      <c r="L45"/>
      <c r="M45"/>
      <c r="N45"/>
      <c r="P45"/>
      <c r="Q45"/>
      <c r="R45"/>
    </row>
    <row r="46" spans="3:18" x14ac:dyDescent="0.25">
      <c r="C46" s="49"/>
      <c r="D46" s="50"/>
      <c r="E46" s="50"/>
      <c r="F46" s="50"/>
      <c r="G46" s="50"/>
      <c r="H46" s="51"/>
      <c r="I46" s="52"/>
      <c r="J46" s="52"/>
      <c r="K46" s="52"/>
      <c r="L46"/>
      <c r="M46"/>
      <c r="N46"/>
      <c r="P46"/>
      <c r="Q46"/>
      <c r="R46"/>
    </row>
    <row r="47" spans="3:18" x14ac:dyDescent="0.25">
      <c r="C47" s="49"/>
      <c r="D47" s="50"/>
      <c r="E47" s="50"/>
      <c r="F47" s="50"/>
      <c r="G47" s="50"/>
      <c r="H47" s="51"/>
      <c r="I47" s="52"/>
      <c r="J47" s="52"/>
      <c r="K47" s="52"/>
      <c r="L47"/>
      <c r="M47"/>
      <c r="N47"/>
      <c r="P47"/>
      <c r="Q47"/>
      <c r="R47"/>
    </row>
    <row r="48" spans="3:18" x14ac:dyDescent="0.25">
      <c r="C48" s="49"/>
      <c r="D48" s="50"/>
      <c r="E48" s="50"/>
      <c r="F48" s="50"/>
      <c r="G48" s="50"/>
      <c r="H48" s="51"/>
      <c r="I48" s="52"/>
      <c r="J48" s="52"/>
      <c r="K48" s="52"/>
      <c r="L48"/>
      <c r="M48"/>
      <c r="N48"/>
      <c r="P48"/>
      <c r="Q48"/>
      <c r="R48"/>
    </row>
    <row r="49" spans="3:18" x14ac:dyDescent="0.25">
      <c r="C49" s="49"/>
      <c r="D49" s="50"/>
      <c r="E49" s="50"/>
      <c r="F49" s="50"/>
      <c r="G49" s="50"/>
      <c r="H49" s="51"/>
      <c r="I49" s="52"/>
      <c r="J49" s="52"/>
      <c r="K49" s="52"/>
      <c r="L49"/>
      <c r="M49"/>
      <c r="N49"/>
      <c r="P49"/>
      <c r="Q49"/>
      <c r="R49"/>
    </row>
    <row r="50" spans="3:18" x14ac:dyDescent="0.25">
      <c r="C50" s="49"/>
      <c r="D50" s="50"/>
      <c r="E50" s="50"/>
      <c r="F50" s="50"/>
      <c r="G50" s="50"/>
      <c r="H50" s="51"/>
      <c r="I50" s="52"/>
      <c r="J50" s="52"/>
      <c r="K50" s="52"/>
      <c r="L50"/>
      <c r="M50"/>
      <c r="N50"/>
      <c r="P50"/>
      <c r="Q50"/>
      <c r="R50"/>
    </row>
    <row r="51" spans="3:18" x14ac:dyDescent="0.25">
      <c r="C51" s="49"/>
      <c r="D51" s="50"/>
      <c r="E51" s="50"/>
      <c r="F51" s="50"/>
      <c r="G51" s="50"/>
      <c r="H51" s="51"/>
      <c r="I51" s="52"/>
      <c r="J51" s="52"/>
      <c r="K51" s="52"/>
      <c r="L51"/>
      <c r="M51"/>
      <c r="N51"/>
      <c r="P51"/>
      <c r="Q51"/>
      <c r="R51"/>
    </row>
    <row r="52" spans="3:18" x14ac:dyDescent="0.25">
      <c r="C52" s="49"/>
      <c r="D52" s="50"/>
      <c r="E52" s="50"/>
      <c r="F52" s="50"/>
      <c r="G52" s="50"/>
      <c r="H52" s="51"/>
      <c r="I52" s="52"/>
      <c r="J52" s="52"/>
      <c r="K52" s="52"/>
      <c r="L52"/>
      <c r="M52"/>
      <c r="N52"/>
      <c r="P52"/>
      <c r="Q52"/>
      <c r="R52"/>
    </row>
    <row r="53" spans="3:18" x14ac:dyDescent="0.25">
      <c r="C53" s="49"/>
      <c r="D53" s="50"/>
      <c r="E53" s="50"/>
      <c r="F53" s="50"/>
      <c r="G53" s="50"/>
      <c r="H53" s="51"/>
      <c r="I53" s="52"/>
      <c r="J53" s="52"/>
      <c r="K53" s="52"/>
      <c r="L53"/>
      <c r="M53"/>
      <c r="N53"/>
      <c r="P53"/>
      <c r="Q53"/>
      <c r="R53"/>
    </row>
    <row r="54" spans="3:18" x14ac:dyDescent="0.25">
      <c r="C54" s="49"/>
      <c r="D54" s="50"/>
      <c r="E54" s="50"/>
      <c r="F54" s="50"/>
      <c r="G54" s="50"/>
      <c r="H54" s="51"/>
      <c r="I54" s="52"/>
      <c r="J54" s="52"/>
      <c r="K54" s="52"/>
      <c r="L54"/>
      <c r="M54"/>
      <c r="N54"/>
      <c r="P54"/>
      <c r="Q54"/>
      <c r="R54"/>
    </row>
    <row r="55" spans="3:18" x14ac:dyDescent="0.25">
      <c r="C55" s="49"/>
      <c r="D55" s="50"/>
      <c r="E55" s="50"/>
      <c r="F55" s="50"/>
      <c r="G55" s="50"/>
      <c r="H55" s="51"/>
      <c r="I55" s="52"/>
      <c r="J55" s="52"/>
      <c r="K55" s="52"/>
      <c r="L55"/>
      <c r="M55"/>
      <c r="N55"/>
      <c r="P55"/>
      <c r="Q55"/>
      <c r="R55"/>
    </row>
    <row r="56" spans="3:18" x14ac:dyDescent="0.25">
      <c r="C56" s="49"/>
      <c r="D56" s="50"/>
      <c r="E56" s="50"/>
      <c r="F56" s="50"/>
      <c r="G56" s="50"/>
      <c r="H56" s="51"/>
      <c r="I56" s="52"/>
      <c r="J56" s="52"/>
      <c r="K56" s="52"/>
      <c r="L56"/>
      <c r="M56"/>
      <c r="N56"/>
      <c r="P56"/>
      <c r="Q56"/>
      <c r="R56"/>
    </row>
    <row r="57" spans="3:18" x14ac:dyDescent="0.25">
      <c r="C57" s="49"/>
      <c r="D57" s="50"/>
      <c r="E57" s="50"/>
      <c r="F57" s="50"/>
      <c r="G57" s="50"/>
      <c r="H57" s="51"/>
      <c r="I57" s="52"/>
      <c r="J57" s="52"/>
      <c r="K57" s="52"/>
      <c r="L57"/>
      <c r="M57"/>
      <c r="N57"/>
      <c r="P57"/>
      <c r="Q57"/>
      <c r="R57"/>
    </row>
    <row r="58" spans="3:18" x14ac:dyDescent="0.25">
      <c r="C58" s="49"/>
      <c r="D58" s="50"/>
      <c r="E58" s="50"/>
      <c r="F58" s="50"/>
      <c r="G58" s="50"/>
      <c r="H58" s="51"/>
      <c r="I58" s="52"/>
      <c r="J58" s="52"/>
      <c r="K58" s="52"/>
      <c r="L58"/>
      <c r="M58"/>
      <c r="N58"/>
      <c r="P58"/>
      <c r="Q58"/>
      <c r="R58"/>
    </row>
    <row r="59" spans="3:18" x14ac:dyDescent="0.25">
      <c r="C59" s="49"/>
      <c r="D59" s="50"/>
      <c r="E59" s="50"/>
      <c r="F59" s="50"/>
      <c r="G59" s="50"/>
      <c r="H59" s="51"/>
      <c r="I59" s="52"/>
      <c r="J59" s="52"/>
      <c r="K59" s="52"/>
      <c r="L59"/>
      <c r="M59"/>
      <c r="N59"/>
      <c r="P59"/>
      <c r="Q59"/>
      <c r="R59"/>
    </row>
    <row r="60" spans="3:18" x14ac:dyDescent="0.25">
      <c r="C60" s="49"/>
      <c r="D60" s="50"/>
      <c r="E60" s="50"/>
      <c r="F60" s="50"/>
      <c r="G60" s="50"/>
      <c r="H60" s="51"/>
      <c r="I60" s="52"/>
      <c r="J60" s="52"/>
      <c r="K60" s="52"/>
      <c r="L60"/>
      <c r="M60"/>
      <c r="N60"/>
      <c r="P60"/>
      <c r="Q60"/>
      <c r="R60"/>
    </row>
    <row r="61" spans="3:18" x14ac:dyDescent="0.25">
      <c r="C61" s="49"/>
      <c r="D61" s="50"/>
      <c r="E61" s="50"/>
      <c r="F61" s="50"/>
      <c r="G61" s="50"/>
      <c r="H61" s="51"/>
      <c r="I61" s="52"/>
      <c r="J61" s="52"/>
      <c r="K61" s="52"/>
      <c r="L61"/>
      <c r="M61"/>
      <c r="N61"/>
      <c r="P61"/>
      <c r="Q61"/>
      <c r="R61"/>
    </row>
    <row r="62" spans="3:18" x14ac:dyDescent="0.25">
      <c r="C62" s="49"/>
      <c r="D62" s="50"/>
      <c r="E62" s="50"/>
      <c r="F62" s="50"/>
      <c r="G62" s="50"/>
      <c r="H62" s="51"/>
      <c r="I62" s="52"/>
      <c r="J62" s="52"/>
      <c r="K62" s="52"/>
      <c r="L62"/>
      <c r="M62"/>
      <c r="N62"/>
      <c r="P62"/>
      <c r="Q62"/>
      <c r="R62"/>
    </row>
    <row r="63" spans="3:18" x14ac:dyDescent="0.25">
      <c r="C63" s="49"/>
      <c r="D63" s="50"/>
      <c r="E63" s="50"/>
      <c r="F63" s="50"/>
      <c r="G63" s="50"/>
      <c r="H63" s="51"/>
      <c r="I63" s="52"/>
      <c r="J63" s="52"/>
      <c r="K63" s="52"/>
      <c r="L63"/>
      <c r="M63"/>
      <c r="N63"/>
      <c r="P63"/>
      <c r="Q63"/>
      <c r="R63"/>
    </row>
    <row r="64" spans="3:18" x14ac:dyDescent="0.25">
      <c r="C64" s="49"/>
      <c r="D64" s="50"/>
      <c r="E64" s="50"/>
      <c r="F64" s="50"/>
      <c r="G64" s="50"/>
      <c r="H64" s="51"/>
      <c r="I64" s="52"/>
      <c r="J64" s="52"/>
      <c r="K64" s="52"/>
      <c r="L64"/>
      <c r="M64"/>
      <c r="N64"/>
      <c r="P64"/>
      <c r="Q64"/>
      <c r="R64"/>
    </row>
    <row r="65" spans="3:18" x14ac:dyDescent="0.25">
      <c r="C65" s="49"/>
      <c r="D65" s="50"/>
      <c r="E65" s="50"/>
      <c r="F65" s="50"/>
      <c r="G65" s="50"/>
      <c r="H65" s="51"/>
      <c r="I65" s="52"/>
      <c r="J65" s="52"/>
      <c r="K65" s="52"/>
      <c r="L65"/>
      <c r="M65"/>
      <c r="N65"/>
      <c r="P65"/>
      <c r="Q65"/>
      <c r="R65"/>
    </row>
    <row r="66" spans="3:18" x14ac:dyDescent="0.25">
      <c r="C66" s="49"/>
      <c r="D66" s="50"/>
      <c r="E66" s="50"/>
      <c r="F66" s="50"/>
      <c r="G66" s="50"/>
      <c r="H66" s="51"/>
      <c r="I66" s="52"/>
      <c r="J66" s="52"/>
      <c r="K66" s="52"/>
      <c r="L66"/>
      <c r="M66"/>
      <c r="N66"/>
      <c r="P66"/>
      <c r="Q66"/>
      <c r="R66"/>
    </row>
    <row r="67" spans="3:18" x14ac:dyDescent="0.25">
      <c r="C67" s="49"/>
      <c r="D67" s="50"/>
      <c r="E67" s="50"/>
      <c r="F67" s="50"/>
      <c r="G67" s="50"/>
      <c r="H67" s="51"/>
      <c r="I67" s="52"/>
      <c r="J67" s="52"/>
      <c r="K67" s="52"/>
      <c r="L67"/>
      <c r="M67"/>
      <c r="N67"/>
      <c r="P67"/>
      <c r="Q67"/>
      <c r="R67"/>
    </row>
    <row r="68" spans="3:18" x14ac:dyDescent="0.25">
      <c r="C68" s="49"/>
      <c r="D68" s="50"/>
      <c r="E68" s="50"/>
      <c r="F68" s="50"/>
      <c r="G68" s="50"/>
      <c r="H68" s="51"/>
      <c r="I68" s="52"/>
      <c r="J68" s="52"/>
      <c r="K68" s="52"/>
      <c r="L68"/>
      <c r="M68"/>
      <c r="N68"/>
      <c r="P68"/>
      <c r="Q68"/>
      <c r="R68"/>
    </row>
    <row r="69" spans="3:18" x14ac:dyDescent="0.25">
      <c r="C69" s="49"/>
      <c r="D69" s="50"/>
      <c r="E69" s="50"/>
      <c r="F69" s="50"/>
      <c r="G69" s="50"/>
      <c r="H69" s="51"/>
      <c r="I69" s="52"/>
      <c r="J69" s="52"/>
      <c r="K69" s="52"/>
      <c r="L69"/>
      <c r="M69"/>
      <c r="N69"/>
      <c r="P69"/>
      <c r="Q69"/>
      <c r="R69"/>
    </row>
    <row r="70" spans="3:18" x14ac:dyDescent="0.25">
      <c r="C70" s="49"/>
      <c r="D70" s="50"/>
      <c r="E70" s="50"/>
      <c r="F70" s="50"/>
      <c r="G70" s="50"/>
      <c r="H70" s="51"/>
      <c r="I70" s="52"/>
      <c r="J70" s="52"/>
      <c r="K70" s="52"/>
      <c r="L70"/>
      <c r="M70"/>
      <c r="N70"/>
      <c r="P70"/>
      <c r="Q70"/>
      <c r="R70"/>
    </row>
    <row r="71" spans="3:18" x14ac:dyDescent="0.25">
      <c r="C71" s="49"/>
      <c r="D71" s="50"/>
      <c r="E71" s="50"/>
      <c r="F71" s="50"/>
      <c r="G71" s="50"/>
      <c r="H71" s="51"/>
      <c r="I71" s="52"/>
      <c r="J71" s="52"/>
      <c r="K71" s="52"/>
      <c r="L71"/>
      <c r="M71"/>
      <c r="N71"/>
      <c r="P71"/>
      <c r="Q71"/>
      <c r="R71"/>
    </row>
    <row r="72" spans="3:18" x14ac:dyDescent="0.25">
      <c r="C72" s="49"/>
      <c r="D72" s="50"/>
      <c r="E72" s="50"/>
      <c r="F72" s="50"/>
      <c r="G72" s="50"/>
      <c r="H72" s="51"/>
      <c r="I72" s="52"/>
      <c r="J72" s="52"/>
      <c r="K72" s="52"/>
      <c r="L72"/>
      <c r="M72"/>
      <c r="N72"/>
      <c r="P72"/>
      <c r="Q72"/>
      <c r="R72"/>
    </row>
    <row r="73" spans="3:18" x14ac:dyDescent="0.25">
      <c r="C73" s="49"/>
      <c r="D73" s="50"/>
      <c r="E73" s="50"/>
      <c r="F73" s="50"/>
      <c r="G73" s="50"/>
      <c r="H73" s="51"/>
      <c r="I73" s="52"/>
      <c r="J73" s="52"/>
      <c r="K73" s="52"/>
      <c r="L73"/>
      <c r="M73"/>
      <c r="N73"/>
      <c r="P73"/>
      <c r="Q73"/>
      <c r="R73"/>
    </row>
    <row r="74" spans="3:18" x14ac:dyDescent="0.25">
      <c r="C74" s="49"/>
      <c r="D74" s="50"/>
      <c r="E74" s="50"/>
      <c r="F74" s="50"/>
      <c r="G74" s="50"/>
      <c r="H74" s="51"/>
      <c r="I74" s="52"/>
      <c r="J74" s="52"/>
      <c r="K74" s="52"/>
      <c r="L74"/>
      <c r="M74"/>
      <c r="N74"/>
      <c r="P74"/>
      <c r="Q74"/>
      <c r="R74"/>
    </row>
    <row r="75" spans="3:18" x14ac:dyDescent="0.25">
      <c r="C75" s="49"/>
      <c r="D75" s="50"/>
      <c r="E75" s="50"/>
      <c r="F75" s="50"/>
      <c r="G75" s="50"/>
      <c r="H75" s="51"/>
      <c r="I75" s="52"/>
      <c r="J75" s="52"/>
      <c r="K75" s="52"/>
      <c r="L75"/>
      <c r="M75"/>
      <c r="N75"/>
      <c r="P75"/>
      <c r="Q75"/>
      <c r="R75"/>
    </row>
    <row r="76" spans="3:18" x14ac:dyDescent="0.25">
      <c r="C76" s="49"/>
      <c r="D76" s="50"/>
      <c r="E76" s="50"/>
      <c r="F76" s="50"/>
      <c r="G76" s="50"/>
      <c r="H76" s="51"/>
      <c r="I76" s="52"/>
      <c r="J76" s="52"/>
      <c r="K76" s="52"/>
      <c r="L76"/>
      <c r="M76"/>
      <c r="N76"/>
      <c r="P76"/>
      <c r="Q76"/>
      <c r="R76"/>
    </row>
    <row r="77" spans="3:18" x14ac:dyDescent="0.25">
      <c r="C77" s="49"/>
      <c r="D77" s="50"/>
      <c r="E77" s="50"/>
      <c r="F77" s="50"/>
      <c r="G77" s="50"/>
      <c r="H77" s="51"/>
      <c r="I77" s="52"/>
      <c r="J77" s="52"/>
      <c r="K77" s="52"/>
      <c r="L77"/>
      <c r="M77"/>
      <c r="N77"/>
      <c r="P77"/>
      <c r="Q77"/>
      <c r="R77"/>
    </row>
    <row r="78" spans="3:18" x14ac:dyDescent="0.25">
      <c r="C78" s="49"/>
      <c r="D78" s="50"/>
      <c r="E78" s="50"/>
      <c r="F78" s="50"/>
      <c r="G78" s="50"/>
      <c r="H78" s="51"/>
      <c r="I78" s="52"/>
      <c r="J78" s="52"/>
      <c r="K78" s="52"/>
      <c r="L78"/>
      <c r="M78"/>
      <c r="N78"/>
      <c r="P78"/>
      <c r="Q78"/>
      <c r="R78"/>
    </row>
    <row r="79" spans="3:18" x14ac:dyDescent="0.25">
      <c r="C79" s="49"/>
      <c r="D79" s="50"/>
      <c r="E79" s="50"/>
      <c r="F79" s="50"/>
      <c r="G79" s="50"/>
      <c r="H79" s="51"/>
      <c r="I79" s="52"/>
      <c r="J79" s="52"/>
      <c r="K79" s="52"/>
      <c r="L79"/>
      <c r="M79"/>
      <c r="N79"/>
      <c r="P79"/>
      <c r="Q79"/>
      <c r="R79"/>
    </row>
    <row r="80" spans="3:18" x14ac:dyDescent="0.25">
      <c r="C80" s="49"/>
      <c r="D80" s="50"/>
      <c r="E80" s="50"/>
      <c r="F80" s="50"/>
      <c r="G80" s="50"/>
      <c r="H80" s="51"/>
      <c r="I80" s="52"/>
      <c r="J80" s="52"/>
      <c r="K80" s="52"/>
      <c r="L80"/>
      <c r="M80"/>
      <c r="N80"/>
      <c r="P80"/>
      <c r="Q80"/>
      <c r="R80"/>
    </row>
    <row r="81" spans="3:18" x14ac:dyDescent="0.25">
      <c r="C81" s="49"/>
      <c r="D81" s="50"/>
      <c r="E81" s="50"/>
      <c r="F81" s="50"/>
      <c r="G81" s="50"/>
      <c r="H81" s="51"/>
      <c r="I81" s="52"/>
      <c r="J81" s="52"/>
      <c r="K81" s="52"/>
      <c r="L81"/>
      <c r="M81"/>
      <c r="N81"/>
      <c r="P81"/>
      <c r="Q81"/>
      <c r="R81"/>
    </row>
    <row r="82" spans="3:18" x14ac:dyDescent="0.25">
      <c r="C82" s="49"/>
      <c r="D82" s="50"/>
      <c r="E82" s="50"/>
      <c r="F82" s="50"/>
      <c r="G82" s="50"/>
      <c r="H82" s="51"/>
      <c r="I82" s="52"/>
      <c r="J82" s="52"/>
      <c r="K82" s="52"/>
      <c r="L82"/>
      <c r="M82"/>
      <c r="N82"/>
      <c r="P82"/>
      <c r="Q82"/>
      <c r="R82"/>
    </row>
    <row r="83" spans="3:18" x14ac:dyDescent="0.25">
      <c r="C83" s="49"/>
      <c r="D83" s="50"/>
      <c r="E83" s="50"/>
      <c r="F83" s="50"/>
      <c r="G83" s="50"/>
      <c r="H83" s="51"/>
      <c r="I83" s="52"/>
      <c r="J83" s="52"/>
      <c r="K83" s="52"/>
      <c r="L83"/>
      <c r="M83"/>
      <c r="N83"/>
      <c r="P83"/>
      <c r="Q83"/>
      <c r="R83"/>
    </row>
    <row r="84" spans="3:18" x14ac:dyDescent="0.25">
      <c r="C84" s="49"/>
      <c r="D84" s="50"/>
      <c r="E84" s="50"/>
      <c r="F84" s="50"/>
      <c r="G84" s="50"/>
      <c r="H84" s="51"/>
      <c r="I84" s="52"/>
      <c r="J84" s="52"/>
      <c r="K84" s="52"/>
      <c r="L84"/>
      <c r="M84"/>
      <c r="N84"/>
      <c r="P84"/>
      <c r="Q84"/>
      <c r="R84"/>
    </row>
    <row r="85" spans="3:18" x14ac:dyDescent="0.25">
      <c r="C85" s="49"/>
      <c r="D85" s="50"/>
      <c r="E85" s="50"/>
      <c r="F85" s="50"/>
      <c r="G85" s="50"/>
      <c r="H85" s="51"/>
      <c r="I85" s="52"/>
      <c r="J85" s="52"/>
      <c r="K85" s="52"/>
      <c r="L85"/>
      <c r="M85"/>
      <c r="N85"/>
      <c r="P85"/>
      <c r="Q85"/>
      <c r="R85"/>
    </row>
    <row r="86" spans="3:18" x14ac:dyDescent="0.25">
      <c r="C86" s="49"/>
      <c r="D86" s="50"/>
      <c r="E86" s="50"/>
      <c r="F86" s="50"/>
      <c r="G86" s="50"/>
      <c r="H86" s="51"/>
      <c r="I86" s="52"/>
      <c r="J86" s="52"/>
      <c r="K86" s="52"/>
      <c r="L86"/>
      <c r="M86"/>
      <c r="N86"/>
      <c r="P86"/>
      <c r="Q86"/>
      <c r="R86"/>
    </row>
    <row r="87" spans="3:18" x14ac:dyDescent="0.25">
      <c r="C87" s="49"/>
      <c r="D87" s="50"/>
      <c r="E87" s="50"/>
      <c r="F87" s="50"/>
      <c r="G87" s="50"/>
      <c r="H87" s="51"/>
      <c r="I87" s="52"/>
      <c r="J87" s="52"/>
      <c r="K87" s="52"/>
      <c r="L87"/>
      <c r="M87"/>
      <c r="N87"/>
      <c r="P87"/>
      <c r="Q87"/>
      <c r="R87"/>
    </row>
    <row r="88" spans="3:18" x14ac:dyDescent="0.25">
      <c r="C88" s="49"/>
      <c r="D88" s="50"/>
      <c r="E88" s="50"/>
      <c r="F88" s="50"/>
      <c r="G88" s="50"/>
      <c r="H88" s="51"/>
      <c r="I88" s="52"/>
      <c r="J88" s="52"/>
      <c r="K88" s="52"/>
      <c r="L88"/>
      <c r="M88"/>
      <c r="N88"/>
      <c r="P88"/>
      <c r="Q88"/>
      <c r="R88"/>
    </row>
    <row r="89" spans="3:18" x14ac:dyDescent="0.25">
      <c r="C89" s="49"/>
      <c r="D89" s="50"/>
      <c r="E89" s="50"/>
      <c r="F89" s="50"/>
      <c r="G89" s="50"/>
      <c r="H89" s="51"/>
      <c r="I89" s="52"/>
      <c r="J89" s="52"/>
      <c r="K89" s="52"/>
      <c r="L89"/>
      <c r="M89"/>
      <c r="N89"/>
      <c r="P89"/>
      <c r="Q89"/>
      <c r="R89"/>
    </row>
    <row r="90" spans="3:18" x14ac:dyDescent="0.25">
      <c r="C90" s="49"/>
      <c r="D90" s="50"/>
      <c r="E90" s="50"/>
      <c r="F90" s="50"/>
      <c r="G90" s="50"/>
      <c r="H90" s="51"/>
      <c r="I90" s="52"/>
      <c r="J90" s="52"/>
      <c r="K90" s="52"/>
      <c r="L90"/>
      <c r="M90"/>
      <c r="N90"/>
      <c r="P90"/>
      <c r="Q90"/>
      <c r="R90"/>
    </row>
    <row r="91" spans="3:18" x14ac:dyDescent="0.25">
      <c r="C91" s="49"/>
      <c r="D91" s="50"/>
      <c r="E91" s="50"/>
      <c r="F91" s="50"/>
      <c r="G91" s="50"/>
      <c r="H91" s="51"/>
      <c r="I91" s="52"/>
      <c r="J91" s="52"/>
      <c r="K91" s="52"/>
      <c r="L91"/>
      <c r="M91"/>
      <c r="N91"/>
      <c r="P91"/>
      <c r="Q91"/>
      <c r="R91"/>
    </row>
    <row r="92" spans="3:18" x14ac:dyDescent="0.25">
      <c r="C92" s="49"/>
      <c r="D92" s="50"/>
      <c r="E92" s="50"/>
      <c r="F92" s="50"/>
      <c r="G92" s="50"/>
      <c r="H92" s="51"/>
      <c r="I92" s="52"/>
      <c r="J92" s="52"/>
      <c r="K92" s="52"/>
      <c r="L92"/>
      <c r="M92"/>
      <c r="N92"/>
      <c r="P92"/>
      <c r="Q92"/>
      <c r="R92"/>
    </row>
    <row r="93" spans="3:18" x14ac:dyDescent="0.25">
      <c r="C93" s="49"/>
      <c r="D93" s="50"/>
      <c r="E93" s="50"/>
      <c r="F93" s="50"/>
      <c r="G93" s="50"/>
      <c r="H93" s="51"/>
      <c r="I93" s="52"/>
      <c r="J93" s="52"/>
      <c r="K93" s="52"/>
      <c r="L93"/>
      <c r="M93"/>
      <c r="N93"/>
      <c r="P93"/>
      <c r="Q93"/>
      <c r="R93"/>
    </row>
    <row r="94" spans="3:18" x14ac:dyDescent="0.25">
      <c r="C94" s="49"/>
      <c r="D94" s="50"/>
      <c r="E94" s="50"/>
      <c r="F94" s="50"/>
      <c r="G94" s="50"/>
      <c r="H94" s="51"/>
      <c r="I94" s="52"/>
      <c r="J94" s="52"/>
      <c r="K94" s="52"/>
      <c r="L94"/>
      <c r="M94"/>
      <c r="N94"/>
      <c r="P94"/>
      <c r="Q94"/>
      <c r="R94"/>
    </row>
    <row r="95" spans="3:18" x14ac:dyDescent="0.25">
      <c r="C95" s="49"/>
      <c r="D95" s="50"/>
      <c r="E95" s="50"/>
      <c r="F95" s="50"/>
      <c r="G95" s="50"/>
      <c r="H95" s="51"/>
      <c r="I95" s="52"/>
      <c r="J95" s="52"/>
      <c r="K95" s="52"/>
      <c r="L95"/>
      <c r="M95"/>
      <c r="N95"/>
      <c r="P95"/>
      <c r="Q95"/>
      <c r="R95"/>
    </row>
    <row r="96" spans="3:18" x14ac:dyDescent="0.25">
      <c r="C96" s="49"/>
      <c r="D96" s="50"/>
      <c r="E96" s="50"/>
      <c r="F96" s="50"/>
      <c r="G96" s="50"/>
      <c r="H96" s="51"/>
      <c r="I96" s="52"/>
      <c r="J96" s="52"/>
      <c r="K96" s="52"/>
      <c r="L96"/>
      <c r="M96"/>
      <c r="N96"/>
      <c r="P96"/>
      <c r="Q96"/>
      <c r="R96"/>
    </row>
    <row r="97" spans="3:18" x14ac:dyDescent="0.25">
      <c r="C97" s="49"/>
      <c r="D97" s="50"/>
      <c r="E97" s="50"/>
      <c r="F97" s="50"/>
      <c r="G97" s="50"/>
      <c r="H97" s="51"/>
      <c r="I97" s="52"/>
      <c r="J97" s="52"/>
      <c r="K97" s="52"/>
      <c r="L97"/>
      <c r="M97"/>
      <c r="N97"/>
      <c r="P97"/>
      <c r="Q97"/>
      <c r="R97"/>
    </row>
    <row r="98" spans="3:18" x14ac:dyDescent="0.25">
      <c r="C98" s="49"/>
      <c r="D98" s="50"/>
      <c r="E98" s="50"/>
      <c r="F98" s="50"/>
      <c r="G98" s="50"/>
      <c r="H98" s="51"/>
      <c r="I98" s="52"/>
      <c r="J98" s="52"/>
      <c r="K98" s="52"/>
      <c r="L98"/>
      <c r="M98"/>
      <c r="N98"/>
      <c r="P98"/>
      <c r="Q98"/>
      <c r="R98"/>
    </row>
    <row r="99" spans="3:18" x14ac:dyDescent="0.25">
      <c r="C99" s="49"/>
      <c r="D99" s="50"/>
      <c r="E99" s="50"/>
      <c r="F99" s="50"/>
      <c r="G99" s="50"/>
      <c r="H99" s="51"/>
      <c r="I99" s="52"/>
      <c r="J99" s="52"/>
      <c r="K99" s="52"/>
      <c r="L99"/>
      <c r="M99"/>
      <c r="N99"/>
      <c r="P99"/>
      <c r="Q99"/>
      <c r="R99"/>
    </row>
  </sheetData>
  <mergeCells count="6">
    <mergeCell ref="B1:R1"/>
    <mergeCell ref="I3:K3"/>
    <mergeCell ref="D18:J18"/>
    <mergeCell ref="D20:J20"/>
    <mergeCell ref="L2:N2"/>
    <mergeCell ref="P2:R2"/>
  </mergeCells>
  <pageMargins left="0.511811024" right="0.511811024" top="0.78740157499999996" bottom="0.78740157499999996" header="0.31496062000000002" footer="0.31496062000000002"/>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8"/>
  <dimension ref="B1:AJ100"/>
  <sheetViews>
    <sheetView workbookViewId="0">
      <selection activeCell="E3" sqref="E3:G3"/>
    </sheetView>
  </sheetViews>
  <sheetFormatPr defaultRowHeight="15" x14ac:dyDescent="0.25"/>
  <cols>
    <col min="1" max="1" width="2.7109375" customWidth="1"/>
    <col min="2" max="2" width="7.42578125" customWidth="1"/>
    <col min="3" max="3" width="22.7109375" style="1" hidden="1" customWidth="1"/>
    <col min="4" max="4" width="38.85546875" customWidth="1"/>
    <col min="5" max="5" width="40.42578125" customWidth="1"/>
    <col min="6" max="6" width="38.85546875" hidden="1" customWidth="1"/>
    <col min="7" max="7" width="38.85546875" customWidth="1"/>
    <col min="8" max="8" width="25.5703125" style="2" customWidth="1"/>
    <col min="9" max="11" width="9.140625" style="3"/>
    <col min="12" max="12" width="17.42578125" style="4" customWidth="1"/>
    <col min="13" max="14" width="1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42578125" customWidth="1"/>
    <col min="254" max="254" width="16.42578125" customWidth="1"/>
    <col min="255" max="255" width="8.140625" customWidth="1"/>
    <col min="256" max="256" width="10.85546875" customWidth="1"/>
    <col min="257" max="257" width="38.85546875" customWidth="1"/>
    <col min="258" max="258" width="25.5703125" customWidth="1"/>
    <col min="262" max="262" width="44.85546875" customWidth="1"/>
    <col min="263" max="263" width="17.42578125" customWidth="1"/>
    <col min="264" max="264" width="1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42578125" customWidth="1"/>
    <col min="510" max="510" width="16.42578125" customWidth="1"/>
    <col min="511" max="511" width="8.140625" customWidth="1"/>
    <col min="512" max="512" width="10.85546875" customWidth="1"/>
    <col min="513" max="513" width="38.85546875" customWidth="1"/>
    <col min="514" max="514" width="25.5703125" customWidth="1"/>
    <col min="518" max="518" width="44.85546875" customWidth="1"/>
    <col min="519" max="519" width="17.42578125" customWidth="1"/>
    <col min="520" max="520" width="1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42578125" customWidth="1"/>
    <col min="766" max="766" width="16.42578125" customWidth="1"/>
    <col min="767" max="767" width="8.140625" customWidth="1"/>
    <col min="768" max="768" width="10.85546875" customWidth="1"/>
    <col min="769" max="769" width="38.85546875" customWidth="1"/>
    <col min="770" max="770" width="25.5703125" customWidth="1"/>
    <col min="774" max="774" width="44.85546875" customWidth="1"/>
    <col min="775" max="775" width="17.42578125" customWidth="1"/>
    <col min="776" max="776" width="1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42578125" customWidth="1"/>
    <col min="1022" max="1022" width="16.42578125" customWidth="1"/>
    <col min="1023" max="1023" width="8.140625" customWidth="1"/>
    <col min="1024" max="1024" width="10.85546875" customWidth="1"/>
    <col min="1025" max="1025" width="38.85546875" customWidth="1"/>
    <col min="1026" max="1026" width="25.5703125" customWidth="1"/>
    <col min="1030" max="1030" width="44.85546875" customWidth="1"/>
    <col min="1031" max="1031" width="17.42578125" customWidth="1"/>
    <col min="1032" max="1032" width="1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42578125" customWidth="1"/>
    <col min="1278" max="1278" width="16.42578125" customWidth="1"/>
    <col min="1279" max="1279" width="8.140625" customWidth="1"/>
    <col min="1280" max="1280" width="10.85546875" customWidth="1"/>
    <col min="1281" max="1281" width="38.85546875" customWidth="1"/>
    <col min="1282" max="1282" width="25.5703125" customWidth="1"/>
    <col min="1286" max="1286" width="44.85546875" customWidth="1"/>
    <col min="1287" max="1287" width="17.42578125" customWidth="1"/>
    <col min="1288" max="1288" width="1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42578125" customWidth="1"/>
    <col min="1534" max="1534" width="16.42578125" customWidth="1"/>
    <col min="1535" max="1535" width="8.140625" customWidth="1"/>
    <col min="1536" max="1536" width="10.85546875" customWidth="1"/>
    <col min="1537" max="1537" width="38.85546875" customWidth="1"/>
    <col min="1538" max="1538" width="25.5703125" customWidth="1"/>
    <col min="1542" max="1542" width="44.85546875" customWidth="1"/>
    <col min="1543" max="1543" width="17.42578125" customWidth="1"/>
    <col min="1544" max="1544" width="1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42578125" customWidth="1"/>
    <col min="1790" max="1790" width="16.42578125" customWidth="1"/>
    <col min="1791" max="1791" width="8.140625" customWidth="1"/>
    <col min="1792" max="1792" width="10.85546875" customWidth="1"/>
    <col min="1793" max="1793" width="38.85546875" customWidth="1"/>
    <col min="1794" max="1794" width="25.5703125" customWidth="1"/>
    <col min="1798" max="1798" width="44.85546875" customWidth="1"/>
    <col min="1799" max="1799" width="17.42578125" customWidth="1"/>
    <col min="1800" max="1800" width="1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42578125" customWidth="1"/>
    <col min="2046" max="2046" width="16.42578125" customWidth="1"/>
    <col min="2047" max="2047" width="8.140625" customWidth="1"/>
    <col min="2048" max="2048" width="10.85546875" customWidth="1"/>
    <col min="2049" max="2049" width="38.85546875" customWidth="1"/>
    <col min="2050" max="2050" width="25.5703125" customWidth="1"/>
    <col min="2054" max="2054" width="44.85546875" customWidth="1"/>
    <col min="2055" max="2055" width="17.42578125" customWidth="1"/>
    <col min="2056" max="2056" width="1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42578125" customWidth="1"/>
    <col min="2302" max="2302" width="16.42578125" customWidth="1"/>
    <col min="2303" max="2303" width="8.140625" customWidth="1"/>
    <col min="2304" max="2304" width="10.85546875" customWidth="1"/>
    <col min="2305" max="2305" width="38.85546875" customWidth="1"/>
    <col min="2306" max="2306" width="25.5703125" customWidth="1"/>
    <col min="2310" max="2310" width="44.85546875" customWidth="1"/>
    <col min="2311" max="2311" width="17.42578125" customWidth="1"/>
    <col min="2312" max="2312" width="1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42578125" customWidth="1"/>
    <col min="2558" max="2558" width="16.42578125" customWidth="1"/>
    <col min="2559" max="2559" width="8.140625" customWidth="1"/>
    <col min="2560" max="2560" width="10.85546875" customWidth="1"/>
    <col min="2561" max="2561" width="38.85546875" customWidth="1"/>
    <col min="2562" max="2562" width="25.5703125" customWidth="1"/>
    <col min="2566" max="2566" width="44.85546875" customWidth="1"/>
    <col min="2567" max="2567" width="17.42578125" customWidth="1"/>
    <col min="2568" max="2568" width="1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42578125" customWidth="1"/>
    <col min="2814" max="2814" width="16.42578125" customWidth="1"/>
    <col min="2815" max="2815" width="8.140625" customWidth="1"/>
    <col min="2816" max="2816" width="10.85546875" customWidth="1"/>
    <col min="2817" max="2817" width="38.85546875" customWidth="1"/>
    <col min="2818" max="2818" width="25.5703125" customWidth="1"/>
    <col min="2822" max="2822" width="44.85546875" customWidth="1"/>
    <col min="2823" max="2823" width="17.42578125" customWidth="1"/>
    <col min="2824" max="2824" width="1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42578125" customWidth="1"/>
    <col min="3070" max="3070" width="16.42578125" customWidth="1"/>
    <col min="3071" max="3071" width="8.140625" customWidth="1"/>
    <col min="3072" max="3072" width="10.85546875" customWidth="1"/>
    <col min="3073" max="3073" width="38.85546875" customWidth="1"/>
    <col min="3074" max="3074" width="25.5703125" customWidth="1"/>
    <col min="3078" max="3078" width="44.85546875" customWidth="1"/>
    <col min="3079" max="3079" width="17.42578125" customWidth="1"/>
    <col min="3080" max="3080" width="1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42578125" customWidth="1"/>
    <col min="3326" max="3326" width="16.42578125" customWidth="1"/>
    <col min="3327" max="3327" width="8.140625" customWidth="1"/>
    <col min="3328" max="3328" width="10.85546875" customWidth="1"/>
    <col min="3329" max="3329" width="38.85546875" customWidth="1"/>
    <col min="3330" max="3330" width="25.5703125" customWidth="1"/>
    <col min="3334" max="3334" width="44.85546875" customWidth="1"/>
    <col min="3335" max="3335" width="17.42578125" customWidth="1"/>
    <col min="3336" max="3336" width="1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42578125" customWidth="1"/>
    <col min="3582" max="3582" width="16.42578125" customWidth="1"/>
    <col min="3583" max="3583" width="8.140625" customWidth="1"/>
    <col min="3584" max="3584" width="10.85546875" customWidth="1"/>
    <col min="3585" max="3585" width="38.85546875" customWidth="1"/>
    <col min="3586" max="3586" width="25.5703125" customWidth="1"/>
    <col min="3590" max="3590" width="44.85546875" customWidth="1"/>
    <col min="3591" max="3591" width="17.42578125" customWidth="1"/>
    <col min="3592" max="3592" width="1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42578125" customWidth="1"/>
    <col min="3838" max="3838" width="16.42578125" customWidth="1"/>
    <col min="3839" max="3839" width="8.140625" customWidth="1"/>
    <col min="3840" max="3840" width="10.85546875" customWidth="1"/>
    <col min="3841" max="3841" width="38.85546875" customWidth="1"/>
    <col min="3842" max="3842" width="25.5703125" customWidth="1"/>
    <col min="3846" max="3846" width="44.85546875" customWidth="1"/>
    <col min="3847" max="3847" width="17.42578125" customWidth="1"/>
    <col min="3848" max="3848" width="1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42578125" customWidth="1"/>
    <col min="4094" max="4094" width="16.42578125" customWidth="1"/>
    <col min="4095" max="4095" width="8.140625" customWidth="1"/>
    <col min="4096" max="4096" width="10.85546875" customWidth="1"/>
    <col min="4097" max="4097" width="38.85546875" customWidth="1"/>
    <col min="4098" max="4098" width="25.5703125" customWidth="1"/>
    <col min="4102" max="4102" width="44.85546875" customWidth="1"/>
    <col min="4103" max="4103" width="17.42578125" customWidth="1"/>
    <col min="4104" max="4104" width="1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42578125" customWidth="1"/>
    <col min="4350" max="4350" width="16.42578125" customWidth="1"/>
    <col min="4351" max="4351" width="8.140625" customWidth="1"/>
    <col min="4352" max="4352" width="10.85546875" customWidth="1"/>
    <col min="4353" max="4353" width="38.85546875" customWidth="1"/>
    <col min="4354" max="4354" width="25.5703125" customWidth="1"/>
    <col min="4358" max="4358" width="44.85546875" customWidth="1"/>
    <col min="4359" max="4359" width="17.42578125" customWidth="1"/>
    <col min="4360" max="4360" width="1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42578125" customWidth="1"/>
    <col min="4606" max="4606" width="16.42578125" customWidth="1"/>
    <col min="4607" max="4607" width="8.140625" customWidth="1"/>
    <col min="4608" max="4608" width="10.85546875" customWidth="1"/>
    <col min="4609" max="4609" width="38.85546875" customWidth="1"/>
    <col min="4610" max="4610" width="25.5703125" customWidth="1"/>
    <col min="4614" max="4614" width="44.85546875" customWidth="1"/>
    <col min="4615" max="4615" width="17.42578125" customWidth="1"/>
    <col min="4616" max="4616" width="1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42578125" customWidth="1"/>
    <col min="4862" max="4862" width="16.42578125" customWidth="1"/>
    <col min="4863" max="4863" width="8.140625" customWidth="1"/>
    <col min="4864" max="4864" width="10.85546875" customWidth="1"/>
    <col min="4865" max="4865" width="38.85546875" customWidth="1"/>
    <col min="4866" max="4866" width="25.5703125" customWidth="1"/>
    <col min="4870" max="4870" width="44.85546875" customWidth="1"/>
    <col min="4871" max="4871" width="17.42578125" customWidth="1"/>
    <col min="4872" max="4872" width="1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42578125" customWidth="1"/>
    <col min="5118" max="5118" width="16.42578125" customWidth="1"/>
    <col min="5119" max="5119" width="8.140625" customWidth="1"/>
    <col min="5120" max="5120" width="10.85546875" customWidth="1"/>
    <col min="5121" max="5121" width="38.85546875" customWidth="1"/>
    <col min="5122" max="5122" width="25.5703125" customWidth="1"/>
    <col min="5126" max="5126" width="44.85546875" customWidth="1"/>
    <col min="5127" max="5127" width="17.42578125" customWidth="1"/>
    <col min="5128" max="5128" width="1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42578125" customWidth="1"/>
    <col min="5374" max="5374" width="16.42578125" customWidth="1"/>
    <col min="5375" max="5375" width="8.140625" customWidth="1"/>
    <col min="5376" max="5376" width="10.85546875" customWidth="1"/>
    <col min="5377" max="5377" width="38.85546875" customWidth="1"/>
    <col min="5378" max="5378" width="25.5703125" customWidth="1"/>
    <col min="5382" max="5382" width="44.85546875" customWidth="1"/>
    <col min="5383" max="5383" width="17.42578125" customWidth="1"/>
    <col min="5384" max="5384" width="1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42578125" customWidth="1"/>
    <col min="5630" max="5630" width="16.42578125" customWidth="1"/>
    <col min="5631" max="5631" width="8.140625" customWidth="1"/>
    <col min="5632" max="5632" width="10.85546875" customWidth="1"/>
    <col min="5633" max="5633" width="38.85546875" customWidth="1"/>
    <col min="5634" max="5634" width="25.5703125" customWidth="1"/>
    <col min="5638" max="5638" width="44.85546875" customWidth="1"/>
    <col min="5639" max="5639" width="17.42578125" customWidth="1"/>
    <col min="5640" max="5640" width="1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42578125" customWidth="1"/>
    <col min="5886" max="5886" width="16.42578125" customWidth="1"/>
    <col min="5887" max="5887" width="8.140625" customWidth="1"/>
    <col min="5888" max="5888" width="10.85546875" customWidth="1"/>
    <col min="5889" max="5889" width="38.85546875" customWidth="1"/>
    <col min="5890" max="5890" width="25.5703125" customWidth="1"/>
    <col min="5894" max="5894" width="44.85546875" customWidth="1"/>
    <col min="5895" max="5895" width="17.42578125" customWidth="1"/>
    <col min="5896" max="5896" width="1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42578125" customWidth="1"/>
    <col min="6142" max="6142" width="16.42578125" customWidth="1"/>
    <col min="6143" max="6143" width="8.140625" customWidth="1"/>
    <col min="6144" max="6144" width="10.85546875" customWidth="1"/>
    <col min="6145" max="6145" width="38.85546875" customWidth="1"/>
    <col min="6146" max="6146" width="25.5703125" customWidth="1"/>
    <col min="6150" max="6150" width="44.85546875" customWidth="1"/>
    <col min="6151" max="6151" width="17.42578125" customWidth="1"/>
    <col min="6152" max="6152" width="1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42578125" customWidth="1"/>
    <col min="6398" max="6398" width="16.42578125" customWidth="1"/>
    <col min="6399" max="6399" width="8.140625" customWidth="1"/>
    <col min="6400" max="6400" width="10.85546875" customWidth="1"/>
    <col min="6401" max="6401" width="38.85546875" customWidth="1"/>
    <col min="6402" max="6402" width="25.5703125" customWidth="1"/>
    <col min="6406" max="6406" width="44.85546875" customWidth="1"/>
    <col min="6407" max="6407" width="17.42578125" customWidth="1"/>
    <col min="6408" max="6408" width="1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42578125" customWidth="1"/>
    <col min="6654" max="6654" width="16.42578125" customWidth="1"/>
    <col min="6655" max="6655" width="8.140625" customWidth="1"/>
    <col min="6656" max="6656" width="10.85546875" customWidth="1"/>
    <col min="6657" max="6657" width="38.85546875" customWidth="1"/>
    <col min="6658" max="6658" width="25.5703125" customWidth="1"/>
    <col min="6662" max="6662" width="44.85546875" customWidth="1"/>
    <col min="6663" max="6663" width="17.42578125" customWidth="1"/>
    <col min="6664" max="6664" width="1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42578125" customWidth="1"/>
    <col min="6910" max="6910" width="16.42578125" customWidth="1"/>
    <col min="6911" max="6911" width="8.140625" customWidth="1"/>
    <col min="6912" max="6912" width="10.85546875" customWidth="1"/>
    <col min="6913" max="6913" width="38.85546875" customWidth="1"/>
    <col min="6914" max="6914" width="25.5703125" customWidth="1"/>
    <col min="6918" max="6918" width="44.85546875" customWidth="1"/>
    <col min="6919" max="6919" width="17.42578125" customWidth="1"/>
    <col min="6920" max="6920" width="1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42578125" customWidth="1"/>
    <col min="7166" max="7166" width="16.42578125" customWidth="1"/>
    <col min="7167" max="7167" width="8.140625" customWidth="1"/>
    <col min="7168" max="7168" width="10.85546875" customWidth="1"/>
    <col min="7169" max="7169" width="38.85546875" customWidth="1"/>
    <col min="7170" max="7170" width="25.5703125" customWidth="1"/>
    <col min="7174" max="7174" width="44.85546875" customWidth="1"/>
    <col min="7175" max="7175" width="17.42578125" customWidth="1"/>
    <col min="7176" max="7176" width="1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42578125" customWidth="1"/>
    <col min="7422" max="7422" width="16.42578125" customWidth="1"/>
    <col min="7423" max="7423" width="8.140625" customWidth="1"/>
    <col min="7424" max="7424" width="10.85546875" customWidth="1"/>
    <col min="7425" max="7425" width="38.85546875" customWidth="1"/>
    <col min="7426" max="7426" width="25.5703125" customWidth="1"/>
    <col min="7430" max="7430" width="44.85546875" customWidth="1"/>
    <col min="7431" max="7431" width="17.42578125" customWidth="1"/>
    <col min="7432" max="7432" width="1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42578125" customWidth="1"/>
    <col min="7678" max="7678" width="16.42578125" customWidth="1"/>
    <col min="7679" max="7679" width="8.140625" customWidth="1"/>
    <col min="7680" max="7680" width="10.85546875" customWidth="1"/>
    <col min="7681" max="7681" width="38.85546875" customWidth="1"/>
    <col min="7682" max="7682" width="25.5703125" customWidth="1"/>
    <col min="7686" max="7686" width="44.85546875" customWidth="1"/>
    <col min="7687" max="7687" width="17.42578125" customWidth="1"/>
    <col min="7688" max="7688" width="1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42578125" customWidth="1"/>
    <col min="7934" max="7934" width="16.42578125" customWidth="1"/>
    <col min="7935" max="7935" width="8.140625" customWidth="1"/>
    <col min="7936" max="7936" width="10.85546875" customWidth="1"/>
    <col min="7937" max="7937" width="38.85546875" customWidth="1"/>
    <col min="7938" max="7938" width="25.5703125" customWidth="1"/>
    <col min="7942" max="7942" width="44.85546875" customWidth="1"/>
    <col min="7943" max="7943" width="17.42578125" customWidth="1"/>
    <col min="7944" max="7944" width="1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42578125" customWidth="1"/>
    <col min="8190" max="8190" width="16.42578125" customWidth="1"/>
    <col min="8191" max="8191" width="8.140625" customWidth="1"/>
    <col min="8192" max="8192" width="10.85546875" customWidth="1"/>
    <col min="8193" max="8193" width="38.85546875" customWidth="1"/>
    <col min="8194" max="8194" width="25.5703125" customWidth="1"/>
    <col min="8198" max="8198" width="44.85546875" customWidth="1"/>
    <col min="8199" max="8199" width="17.42578125" customWidth="1"/>
    <col min="8200" max="8200" width="1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42578125" customWidth="1"/>
    <col min="8446" max="8446" width="16.42578125" customWidth="1"/>
    <col min="8447" max="8447" width="8.140625" customWidth="1"/>
    <col min="8448" max="8448" width="10.85546875" customWidth="1"/>
    <col min="8449" max="8449" width="38.85546875" customWidth="1"/>
    <col min="8450" max="8450" width="25.5703125" customWidth="1"/>
    <col min="8454" max="8454" width="44.85546875" customWidth="1"/>
    <col min="8455" max="8455" width="17.42578125" customWidth="1"/>
    <col min="8456" max="8456" width="1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42578125" customWidth="1"/>
    <col min="8702" max="8702" width="16.42578125" customWidth="1"/>
    <col min="8703" max="8703" width="8.140625" customWidth="1"/>
    <col min="8704" max="8704" width="10.85546875" customWidth="1"/>
    <col min="8705" max="8705" width="38.85546875" customWidth="1"/>
    <col min="8706" max="8706" width="25.5703125" customWidth="1"/>
    <col min="8710" max="8710" width="44.85546875" customWidth="1"/>
    <col min="8711" max="8711" width="17.42578125" customWidth="1"/>
    <col min="8712" max="8712" width="1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42578125" customWidth="1"/>
    <col min="8958" max="8958" width="16.42578125" customWidth="1"/>
    <col min="8959" max="8959" width="8.140625" customWidth="1"/>
    <col min="8960" max="8960" width="10.85546875" customWidth="1"/>
    <col min="8961" max="8961" width="38.85546875" customWidth="1"/>
    <col min="8962" max="8962" width="25.5703125" customWidth="1"/>
    <col min="8966" max="8966" width="44.85546875" customWidth="1"/>
    <col min="8967" max="8967" width="17.42578125" customWidth="1"/>
    <col min="8968" max="8968" width="1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42578125" customWidth="1"/>
    <col min="9214" max="9214" width="16.42578125" customWidth="1"/>
    <col min="9215" max="9215" width="8.140625" customWidth="1"/>
    <col min="9216" max="9216" width="10.85546875" customWidth="1"/>
    <col min="9217" max="9217" width="38.85546875" customWidth="1"/>
    <col min="9218" max="9218" width="25.5703125" customWidth="1"/>
    <col min="9222" max="9222" width="44.85546875" customWidth="1"/>
    <col min="9223" max="9223" width="17.42578125" customWidth="1"/>
    <col min="9224" max="9224" width="1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42578125" customWidth="1"/>
    <col min="9470" max="9470" width="16.42578125" customWidth="1"/>
    <col min="9471" max="9471" width="8.140625" customWidth="1"/>
    <col min="9472" max="9472" width="10.85546875" customWidth="1"/>
    <col min="9473" max="9473" width="38.85546875" customWidth="1"/>
    <col min="9474" max="9474" width="25.5703125" customWidth="1"/>
    <col min="9478" max="9478" width="44.85546875" customWidth="1"/>
    <col min="9479" max="9479" width="17.42578125" customWidth="1"/>
    <col min="9480" max="9480" width="1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42578125" customWidth="1"/>
    <col min="9726" max="9726" width="16.42578125" customWidth="1"/>
    <col min="9727" max="9727" width="8.140625" customWidth="1"/>
    <col min="9728" max="9728" width="10.85546875" customWidth="1"/>
    <col min="9729" max="9729" width="38.85546875" customWidth="1"/>
    <col min="9730" max="9730" width="25.5703125" customWidth="1"/>
    <col min="9734" max="9734" width="44.85546875" customWidth="1"/>
    <col min="9735" max="9735" width="17.42578125" customWidth="1"/>
    <col min="9736" max="9736" width="1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42578125" customWidth="1"/>
    <col min="9982" max="9982" width="16.42578125" customWidth="1"/>
    <col min="9983" max="9983" width="8.140625" customWidth="1"/>
    <col min="9984" max="9984" width="10.85546875" customWidth="1"/>
    <col min="9985" max="9985" width="38.85546875" customWidth="1"/>
    <col min="9986" max="9986" width="25.5703125" customWidth="1"/>
    <col min="9990" max="9990" width="44.85546875" customWidth="1"/>
    <col min="9991" max="9991" width="17.42578125" customWidth="1"/>
    <col min="9992" max="9992" width="1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42578125" customWidth="1"/>
    <col min="10238" max="10238" width="16.425781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7" width="17.42578125" customWidth="1"/>
    <col min="10248" max="10248" width="1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42578125" customWidth="1"/>
    <col min="10494" max="10494" width="16.425781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3" width="17.42578125" customWidth="1"/>
    <col min="10504" max="10504" width="1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42578125" customWidth="1"/>
    <col min="10750" max="10750" width="16.425781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59" width="17.42578125" customWidth="1"/>
    <col min="10760" max="10760" width="1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42578125" customWidth="1"/>
    <col min="11006" max="11006" width="16.425781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5" width="17.42578125" customWidth="1"/>
    <col min="11016" max="11016" width="1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42578125" customWidth="1"/>
    <col min="11262" max="11262" width="16.425781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1" width="17.42578125" customWidth="1"/>
    <col min="11272" max="11272" width="1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42578125" customWidth="1"/>
    <col min="11518" max="11518" width="16.425781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7" width="17.42578125" customWidth="1"/>
    <col min="11528" max="11528" width="1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42578125" customWidth="1"/>
    <col min="11774" max="11774" width="16.425781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3" width="17.42578125" customWidth="1"/>
    <col min="11784" max="11784" width="1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42578125" customWidth="1"/>
    <col min="12030" max="12030" width="16.425781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39" width="17.42578125" customWidth="1"/>
    <col min="12040" max="12040" width="1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42578125" customWidth="1"/>
    <col min="12286" max="12286" width="16.425781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5" width="17.42578125" customWidth="1"/>
    <col min="12296" max="12296" width="1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42578125" customWidth="1"/>
    <col min="12542" max="12542" width="16.425781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1" width="17.42578125" customWidth="1"/>
    <col min="12552" max="12552" width="1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42578125" customWidth="1"/>
    <col min="12798" max="12798" width="16.425781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7" width="17.42578125" customWidth="1"/>
    <col min="12808" max="12808" width="1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42578125" customWidth="1"/>
    <col min="13054" max="13054" width="16.425781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3" width="17.42578125" customWidth="1"/>
    <col min="13064" max="13064" width="1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42578125" customWidth="1"/>
    <col min="13310" max="13310" width="16.425781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19" width="17.42578125" customWidth="1"/>
    <col min="13320" max="13320" width="1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42578125" customWidth="1"/>
    <col min="13566" max="13566" width="16.425781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5" width="17.42578125" customWidth="1"/>
    <col min="13576" max="13576" width="1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42578125" customWidth="1"/>
    <col min="13822" max="13822" width="16.425781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1" width="17.42578125" customWidth="1"/>
    <col min="13832" max="13832" width="1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42578125" customWidth="1"/>
    <col min="14078" max="14078" width="16.425781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7" width="17.42578125" customWidth="1"/>
    <col min="14088" max="14088" width="1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42578125" customWidth="1"/>
    <col min="14334" max="14334" width="16.425781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3" width="17.42578125" customWidth="1"/>
    <col min="14344" max="14344" width="1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42578125" customWidth="1"/>
    <col min="14590" max="14590" width="16.425781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599" width="17.42578125" customWidth="1"/>
    <col min="14600" max="14600" width="1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42578125" customWidth="1"/>
    <col min="14846" max="14846" width="16.425781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5" width="17.42578125" customWidth="1"/>
    <col min="14856" max="14856" width="1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42578125" customWidth="1"/>
    <col min="15102" max="15102" width="16.425781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1" width="17.42578125" customWidth="1"/>
    <col min="15112" max="15112" width="1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42578125" customWidth="1"/>
    <col min="15358" max="15358" width="16.425781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7" width="17.42578125" customWidth="1"/>
    <col min="15368" max="15368" width="1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42578125" customWidth="1"/>
    <col min="15614" max="15614" width="16.425781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3" width="17.42578125" customWidth="1"/>
    <col min="15624" max="15624" width="1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42578125" customWidth="1"/>
    <col min="15870" max="15870" width="16.425781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79" width="17.42578125" customWidth="1"/>
    <col min="15880" max="15880" width="1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42578125" customWidth="1"/>
    <col min="16126" max="16126" width="16.425781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5" width="17.42578125" customWidth="1"/>
    <col min="16136" max="16136" width="1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1" spans="2:36" s="7" customFormat="1" ht="24.75" customHeight="1" thickBot="1" x14ac:dyDescent="0.3">
      <c r="B1" s="287" t="s">
        <v>608</v>
      </c>
      <c r="C1" s="287"/>
      <c r="D1" s="287"/>
      <c r="E1" s="287"/>
      <c r="F1" s="287"/>
      <c r="G1" s="287"/>
      <c r="H1" s="287"/>
      <c r="I1" s="287"/>
      <c r="J1" s="287"/>
      <c r="K1" s="287"/>
      <c r="L1" s="296"/>
      <c r="M1" s="296"/>
      <c r="N1" s="296"/>
      <c r="O1" s="296"/>
      <c r="P1" s="296"/>
      <c r="Q1" s="296"/>
      <c r="R1" s="296"/>
      <c r="S1" s="8"/>
      <c r="T1" s="8"/>
      <c r="U1" s="8"/>
      <c r="V1" s="8"/>
      <c r="W1" s="8"/>
      <c r="X1" s="8"/>
      <c r="Y1" s="8"/>
      <c r="Z1" s="8"/>
      <c r="AA1" s="8"/>
      <c r="AB1" s="8"/>
      <c r="AC1" s="8"/>
      <c r="AD1" s="8"/>
      <c r="AE1" s="8"/>
      <c r="AF1" s="8"/>
      <c r="AG1" s="8"/>
      <c r="AH1" s="8"/>
      <c r="AI1" s="8"/>
      <c r="AJ1" s="8"/>
    </row>
    <row r="2" spans="2:36" s="7" customFormat="1" ht="32.25" customHeight="1" thickBot="1" x14ac:dyDescent="0.3">
      <c r="B2" s="146"/>
      <c r="C2" s="146"/>
      <c r="D2" s="146"/>
      <c r="E2" s="146"/>
      <c r="F2" s="146"/>
      <c r="G2" s="146"/>
      <c r="H2" s="146"/>
      <c r="I2" s="146"/>
      <c r="J2" s="146"/>
      <c r="K2" s="147"/>
      <c r="L2" s="302" t="s">
        <v>310</v>
      </c>
      <c r="M2" s="303"/>
      <c r="N2" s="304"/>
      <c r="O2" s="139" t="s">
        <v>317</v>
      </c>
      <c r="P2" s="291" t="s">
        <v>318</v>
      </c>
      <c r="Q2" s="291"/>
      <c r="R2" s="292"/>
      <c r="S2" s="8"/>
      <c r="T2" s="8"/>
      <c r="U2" s="8"/>
      <c r="V2" s="8"/>
      <c r="W2" s="8"/>
      <c r="X2" s="8"/>
      <c r="Y2" s="8"/>
      <c r="Z2" s="8"/>
      <c r="AA2" s="8"/>
      <c r="AB2" s="8"/>
      <c r="AC2" s="8"/>
      <c r="AD2" s="8"/>
      <c r="AE2" s="8"/>
      <c r="AF2" s="8"/>
      <c r="AG2" s="8"/>
      <c r="AH2" s="8"/>
      <c r="AI2" s="8"/>
      <c r="AJ2" s="8"/>
    </row>
    <row r="3" spans="2:36" ht="30.75" customHeight="1" thickBot="1" x14ac:dyDescent="0.3">
      <c r="B3" s="110" t="s">
        <v>0</v>
      </c>
      <c r="C3" s="238" t="s">
        <v>466</v>
      </c>
      <c r="D3" s="111" t="s">
        <v>1</v>
      </c>
      <c r="E3" s="215" t="s">
        <v>463</v>
      </c>
      <c r="F3" s="218" t="s">
        <v>465</v>
      </c>
      <c r="G3" s="215" t="s">
        <v>464</v>
      </c>
      <c r="H3" s="111" t="s">
        <v>2</v>
      </c>
      <c r="I3" s="300" t="s">
        <v>3</v>
      </c>
      <c r="J3" s="298"/>
      <c r="K3" s="301"/>
      <c r="L3" s="112" t="s">
        <v>311</v>
      </c>
      <c r="M3" s="113" t="s">
        <v>312</v>
      </c>
      <c r="N3" s="113" t="s">
        <v>313</v>
      </c>
      <c r="O3" s="114" t="s">
        <v>311</v>
      </c>
      <c r="P3" s="115" t="s">
        <v>4</v>
      </c>
      <c r="Q3" s="116" t="s">
        <v>5</v>
      </c>
      <c r="R3" s="117" t="s">
        <v>6</v>
      </c>
    </row>
    <row r="4" spans="2:36" s="17" customFormat="1" ht="48" customHeight="1" x14ac:dyDescent="0.2">
      <c r="B4" s="118">
        <v>1</v>
      </c>
      <c r="C4" s="119" t="s">
        <v>236</v>
      </c>
      <c r="D4" s="122" t="s">
        <v>176</v>
      </c>
      <c r="E4" s="122" t="s">
        <v>591</v>
      </c>
      <c r="F4" s="247" t="s">
        <v>609</v>
      </c>
      <c r="G4" s="120" t="str">
        <f>UPPER(F4)</f>
        <v>PARTICIPAÇÃO DE PALESTRANTE NO I SIMPÓSIO DO MESTRADO PROFISSIONAL EM PREVENÇÃO E ASSISTÊNCIA A USUÁRIOS DE ÁLCOOL E OUTRAS DROGAS</v>
      </c>
      <c r="H4" s="120" t="s">
        <v>177</v>
      </c>
      <c r="I4" s="121" t="s">
        <v>178</v>
      </c>
      <c r="J4" s="122">
        <v>29</v>
      </c>
      <c r="K4" s="123">
        <v>3</v>
      </c>
      <c r="L4" s="148">
        <v>0</v>
      </c>
      <c r="M4" s="148">
        <v>0</v>
      </c>
      <c r="N4" s="148">
        <v>0</v>
      </c>
      <c r="O4" s="130">
        <v>0</v>
      </c>
      <c r="P4" s="125">
        <v>2014.04</v>
      </c>
      <c r="Q4" s="126">
        <f>609.5+154.88</f>
        <v>764.38</v>
      </c>
      <c r="R4" s="127">
        <f t="shared" ref="R4:R16" si="0">L4+M4+N4+O4+P4+Q4</f>
        <v>2778.42</v>
      </c>
      <c r="S4" s="16"/>
      <c r="T4" s="16"/>
      <c r="U4" s="16"/>
      <c r="V4" s="16"/>
    </row>
    <row r="5" spans="2:36" s="17" customFormat="1" ht="48.75" customHeight="1" x14ac:dyDescent="0.2">
      <c r="B5" s="99">
        <v>2</v>
      </c>
      <c r="C5" s="56" t="s">
        <v>237</v>
      </c>
      <c r="D5" s="10" t="s">
        <v>179</v>
      </c>
      <c r="E5" s="10" t="s">
        <v>591</v>
      </c>
      <c r="F5" s="193" t="s">
        <v>609</v>
      </c>
      <c r="G5" s="9" t="str">
        <f>UPPER(F5)</f>
        <v>PARTICIPAÇÃO DE PALESTRANTE NO I SIMPÓSIO DO MESTRADO PROFISSIONAL EM PREVENÇÃO E ASSISTÊNCIA A USUÁRIOS DE ÁLCOOL E OUTRAS DROGAS</v>
      </c>
      <c r="H5" s="9" t="s">
        <v>180</v>
      </c>
      <c r="I5" s="18">
        <v>43282</v>
      </c>
      <c r="J5" s="10">
        <v>1</v>
      </c>
      <c r="K5" s="11">
        <v>4</v>
      </c>
      <c r="L5" s="58">
        <v>0</v>
      </c>
      <c r="M5" s="58">
        <v>0</v>
      </c>
      <c r="N5" s="58">
        <v>0</v>
      </c>
      <c r="O5" s="54">
        <v>0</v>
      </c>
      <c r="P5" s="14">
        <v>1775.82</v>
      </c>
      <c r="Q5" s="15">
        <f>914.25+202.73</f>
        <v>1116.98</v>
      </c>
      <c r="R5" s="98">
        <f t="shared" si="0"/>
        <v>2892.8</v>
      </c>
      <c r="S5" s="16"/>
      <c r="T5" s="16"/>
      <c r="U5" s="16"/>
      <c r="V5" s="16"/>
    </row>
    <row r="6" spans="2:36" s="17" customFormat="1" ht="34.5" customHeight="1" x14ac:dyDescent="0.2">
      <c r="B6" s="99">
        <v>3</v>
      </c>
      <c r="C6" s="56" t="s">
        <v>238</v>
      </c>
      <c r="D6" s="10" t="s">
        <v>195</v>
      </c>
      <c r="E6" s="10" t="s">
        <v>591</v>
      </c>
      <c r="F6" s="193" t="s">
        <v>578</v>
      </c>
      <c r="G6" s="9" t="str">
        <f t="shared" ref="G6:G16" si="1">UPPER(F6)</f>
        <v>PARTICIPAR DO SIMPÓSIO DO MESTRADO PROFISSIONAL EM ÁLCOOL E OUTRAS DROGAS SENAD.</v>
      </c>
      <c r="H6" s="9" t="s">
        <v>141</v>
      </c>
      <c r="I6" s="18">
        <v>43282</v>
      </c>
      <c r="J6" s="10">
        <v>1</v>
      </c>
      <c r="K6" s="11">
        <v>3</v>
      </c>
      <c r="L6" s="58">
        <v>0</v>
      </c>
      <c r="M6" s="58">
        <v>0</v>
      </c>
      <c r="N6" s="58">
        <v>0</v>
      </c>
      <c r="O6" s="54">
        <v>0</v>
      </c>
      <c r="P6" s="14">
        <f>321.17+256.68</f>
        <v>577.85</v>
      </c>
      <c r="Q6" s="15">
        <f>304.75+76.34</f>
        <v>381.09000000000003</v>
      </c>
      <c r="R6" s="98">
        <f t="shared" si="0"/>
        <v>958.94</v>
      </c>
      <c r="S6" s="16"/>
      <c r="T6" s="16"/>
      <c r="U6" s="16"/>
      <c r="V6" s="16"/>
    </row>
    <row r="7" spans="2:36" s="17" customFormat="1" ht="36" customHeight="1" x14ac:dyDescent="0.2">
      <c r="B7" s="99">
        <v>4</v>
      </c>
      <c r="C7" s="56" t="s">
        <v>239</v>
      </c>
      <c r="D7" s="10" t="s">
        <v>213</v>
      </c>
      <c r="E7" s="10" t="s">
        <v>591</v>
      </c>
      <c r="F7" s="193" t="s">
        <v>578</v>
      </c>
      <c r="G7" s="9" t="str">
        <f t="shared" si="1"/>
        <v>PARTICIPAR DO SIMPÓSIO DO MESTRADO PROFISSIONAL EM ÁLCOOL E OUTRAS DROGAS SENAD.</v>
      </c>
      <c r="H7" s="9" t="s">
        <v>184</v>
      </c>
      <c r="I7" s="18">
        <v>43282</v>
      </c>
      <c r="J7" s="10">
        <v>1</v>
      </c>
      <c r="K7" s="11">
        <v>4</v>
      </c>
      <c r="L7" s="58">
        <v>0</v>
      </c>
      <c r="M7" s="58">
        <v>0</v>
      </c>
      <c r="N7" s="58">
        <v>0</v>
      </c>
      <c r="O7" s="54">
        <v>0</v>
      </c>
      <c r="P7" s="14">
        <v>902.61</v>
      </c>
      <c r="Q7" s="15">
        <f>983.25+119.58</f>
        <v>1102.83</v>
      </c>
      <c r="R7" s="98">
        <f t="shared" si="0"/>
        <v>2005.44</v>
      </c>
      <c r="S7" s="16"/>
      <c r="T7" s="16"/>
      <c r="U7" s="16"/>
      <c r="V7" s="16"/>
    </row>
    <row r="8" spans="2:36" s="17" customFormat="1" ht="34.5" customHeight="1" x14ac:dyDescent="0.2">
      <c r="B8" s="99">
        <v>5</v>
      </c>
      <c r="C8" s="57" t="s">
        <v>240</v>
      </c>
      <c r="D8" s="10" t="s">
        <v>241</v>
      </c>
      <c r="E8" s="10" t="s">
        <v>591</v>
      </c>
      <c r="F8" s="193" t="s">
        <v>578</v>
      </c>
      <c r="G8" s="9" t="str">
        <f t="shared" si="1"/>
        <v>PARTICIPAR DO SIMPÓSIO DO MESTRADO PROFISSIONAL EM ÁLCOOL E OUTRAS DROGAS SENAD.</v>
      </c>
      <c r="H8" s="9" t="s">
        <v>184</v>
      </c>
      <c r="I8" s="18" t="s">
        <v>178</v>
      </c>
      <c r="J8" s="10">
        <v>30</v>
      </c>
      <c r="K8" s="11">
        <v>2</v>
      </c>
      <c r="L8" s="58">
        <v>0</v>
      </c>
      <c r="M8" s="58">
        <v>0</v>
      </c>
      <c r="N8" s="58">
        <v>0</v>
      </c>
      <c r="O8" s="54">
        <v>0</v>
      </c>
      <c r="P8" s="14">
        <v>1243.6099999999999</v>
      </c>
      <c r="Q8" s="15">
        <f>316.25+221.71</f>
        <v>537.96</v>
      </c>
      <c r="R8" s="98">
        <f t="shared" si="0"/>
        <v>1781.57</v>
      </c>
      <c r="S8" s="16"/>
      <c r="T8" s="16"/>
      <c r="U8" s="16"/>
      <c r="V8" s="16"/>
    </row>
    <row r="9" spans="2:36" s="17" customFormat="1" ht="47.25" customHeight="1" x14ac:dyDescent="0.2">
      <c r="B9" s="99">
        <v>6</v>
      </c>
      <c r="C9" s="57" t="s">
        <v>242</v>
      </c>
      <c r="D9" s="10" t="s">
        <v>243</v>
      </c>
      <c r="E9" s="216" t="s">
        <v>617</v>
      </c>
      <c r="F9" s="193" t="s">
        <v>610</v>
      </c>
      <c r="G9" s="9" t="str">
        <f t="shared" si="1"/>
        <v>TREINAMENTO AERONÁUTICA - PROJETO AGHUSE - IMERSÃO PARA TREINAMENTO PARA IMPLANTAÇÃO DO AGHUSE - MÓDULOS INTERNAÇÃO, BEM COMO VALIDAR O COMPLEMENTO CADASTRAL E RETIRAR DÚVIDAS NEGOCIAIS.</v>
      </c>
      <c r="H9" s="10" t="s">
        <v>161</v>
      </c>
      <c r="I9" s="18">
        <v>43282</v>
      </c>
      <c r="J9" s="10">
        <v>23</v>
      </c>
      <c r="K9" s="11">
        <v>24</v>
      </c>
      <c r="L9" s="58">
        <v>131.16</v>
      </c>
      <c r="M9" s="58">
        <v>68</v>
      </c>
      <c r="N9" s="58">
        <v>0</v>
      </c>
      <c r="O9" s="54">
        <v>0</v>
      </c>
      <c r="P9" s="14">
        <v>893.93</v>
      </c>
      <c r="Q9" s="15">
        <f>10+376.95</f>
        <v>386.95</v>
      </c>
      <c r="R9" s="98">
        <f t="shared" si="0"/>
        <v>1480.04</v>
      </c>
      <c r="S9" s="16"/>
      <c r="T9" s="16"/>
      <c r="U9" s="16"/>
      <c r="V9" s="16"/>
    </row>
    <row r="10" spans="2:36" s="17" customFormat="1" ht="26.25" customHeight="1" x14ac:dyDescent="0.2">
      <c r="B10" s="99">
        <v>7</v>
      </c>
      <c r="C10" s="56" t="s">
        <v>244</v>
      </c>
      <c r="D10" s="10" t="s">
        <v>245</v>
      </c>
      <c r="E10" s="197" t="s">
        <v>618</v>
      </c>
      <c r="F10" s="248" t="s">
        <v>611</v>
      </c>
      <c r="G10" s="9" t="str">
        <f t="shared" si="1"/>
        <v>PARTIC. WORKSHOP METODOLOGIA LEAN NO HOSPITAL SIRIO LIBANÊS - SP.</v>
      </c>
      <c r="H10" s="9" t="s">
        <v>53</v>
      </c>
      <c r="I10" s="18">
        <v>43313</v>
      </c>
      <c r="J10" s="10">
        <v>27</v>
      </c>
      <c r="K10" s="11">
        <v>27</v>
      </c>
      <c r="L10" s="58">
        <v>0</v>
      </c>
      <c r="M10" s="58">
        <v>55.01</v>
      </c>
      <c r="N10" s="58">
        <v>0</v>
      </c>
      <c r="O10" s="54">
        <f>25.3+28.5+28.6</f>
        <v>82.4</v>
      </c>
      <c r="P10" s="14">
        <v>696.85</v>
      </c>
      <c r="Q10" s="15">
        <v>0</v>
      </c>
      <c r="R10" s="98">
        <f t="shared" si="0"/>
        <v>834.26</v>
      </c>
      <c r="S10" s="16"/>
      <c r="T10" s="16"/>
      <c r="U10" s="16"/>
      <c r="V10" s="16"/>
    </row>
    <row r="11" spans="2:36" s="17" customFormat="1" ht="34.5" customHeight="1" x14ac:dyDescent="0.2">
      <c r="B11" s="99">
        <v>8</v>
      </c>
      <c r="C11" s="56" t="s">
        <v>246</v>
      </c>
      <c r="D11" s="10" t="s">
        <v>32</v>
      </c>
      <c r="E11" s="10" t="s">
        <v>560</v>
      </c>
      <c r="F11" s="226" t="s">
        <v>612</v>
      </c>
      <c r="G11" s="9" t="str">
        <f t="shared" si="1"/>
        <v>REUNIÃO NO MINISTÉRIO DA FAZENDA E SEU/MEC PARA TRATAR ASSUNTO REFERENTE A ALTERAÇÕES NO ESTATUTO.</v>
      </c>
      <c r="H11" s="9" t="s">
        <v>9</v>
      </c>
      <c r="I11" s="18">
        <v>43282</v>
      </c>
      <c r="J11" s="10">
        <v>25</v>
      </c>
      <c r="K11" s="11">
        <v>26</v>
      </c>
      <c r="L11" s="58">
        <v>45</v>
      </c>
      <c r="M11" s="58">
        <v>108.75</v>
      </c>
      <c r="N11" s="58">
        <v>0</v>
      </c>
      <c r="O11" s="54">
        <f>56+14+12+45</f>
        <v>127</v>
      </c>
      <c r="P11" s="14">
        <f>1731.68+957.03</f>
        <v>2688.71</v>
      </c>
      <c r="Q11" s="15">
        <f>98.89+373.75</f>
        <v>472.64</v>
      </c>
      <c r="R11" s="98">
        <f t="shared" si="0"/>
        <v>3442.1</v>
      </c>
      <c r="S11" s="16"/>
      <c r="T11" s="16"/>
      <c r="U11" s="16"/>
      <c r="V11" s="16"/>
    </row>
    <row r="12" spans="2:36" s="17" customFormat="1" ht="36" customHeight="1" x14ac:dyDescent="0.2">
      <c r="B12" s="99">
        <v>9</v>
      </c>
      <c r="C12" s="56" t="s">
        <v>247</v>
      </c>
      <c r="D12" s="10" t="s">
        <v>15</v>
      </c>
      <c r="E12" s="10" t="s">
        <v>561</v>
      </c>
      <c r="F12" s="188" t="s">
        <v>613</v>
      </c>
      <c r="G12" s="9" t="str">
        <f t="shared" si="1"/>
        <v>REUNIÃO SESU/MEC E MINISTÉRIO DO PLANEJAMENTO, DESENVOLVIMENTO E GESTÃO - ALTERAÇÃO DO ESTATUTO DO HCPA.</v>
      </c>
      <c r="H12" s="9" t="s">
        <v>9</v>
      </c>
      <c r="I12" s="18">
        <v>43282</v>
      </c>
      <c r="J12" s="10">
        <v>25</v>
      </c>
      <c r="K12" s="11">
        <v>26</v>
      </c>
      <c r="L12" s="58">
        <v>35</v>
      </c>
      <c r="M12" s="58">
        <v>40.15</v>
      </c>
      <c r="N12" s="58">
        <v>0</v>
      </c>
      <c r="O12" s="54">
        <v>26</v>
      </c>
      <c r="P12" s="14">
        <f>1731.68+957.03</f>
        <v>2688.71</v>
      </c>
      <c r="Q12" s="15">
        <f>89.6+373.75</f>
        <v>463.35</v>
      </c>
      <c r="R12" s="98">
        <f t="shared" si="0"/>
        <v>3253.21</v>
      </c>
      <c r="S12" s="16"/>
      <c r="T12" s="16"/>
      <c r="U12" s="16"/>
      <c r="V12" s="16"/>
    </row>
    <row r="13" spans="2:36" s="17" customFormat="1" ht="24.75" customHeight="1" x14ac:dyDescent="0.2">
      <c r="B13" s="99">
        <v>10</v>
      </c>
      <c r="C13" s="56" t="s">
        <v>248</v>
      </c>
      <c r="D13" s="10" t="s">
        <v>11</v>
      </c>
      <c r="E13" s="10" t="s">
        <v>501</v>
      </c>
      <c r="F13" s="193" t="s">
        <v>614</v>
      </c>
      <c r="G13" s="9" t="str">
        <f t="shared" si="1"/>
        <v>PARA PARTICIPAR DO FÓRUM DE LÍDERES DO SETOR DA SAÚDE. </v>
      </c>
      <c r="H13" s="9" t="s">
        <v>53</v>
      </c>
      <c r="I13" s="18">
        <v>43313</v>
      </c>
      <c r="J13" s="10">
        <v>12</v>
      </c>
      <c r="K13" s="11">
        <v>13</v>
      </c>
      <c r="L13" s="58">
        <v>67.38</v>
      </c>
      <c r="M13" s="58">
        <v>0</v>
      </c>
      <c r="N13" s="58">
        <v>0</v>
      </c>
      <c r="O13" s="54">
        <v>0</v>
      </c>
      <c r="P13" s="14">
        <f>529.68+554.17</f>
        <v>1083.8499999999999</v>
      </c>
      <c r="Q13" s="15">
        <v>313.95</v>
      </c>
      <c r="R13" s="98">
        <f t="shared" si="0"/>
        <v>1465.18</v>
      </c>
      <c r="S13" s="16"/>
      <c r="T13" s="16"/>
      <c r="U13" s="16"/>
      <c r="V13" s="16"/>
    </row>
    <row r="14" spans="2:36" s="17" customFormat="1" ht="26.25" customHeight="1" x14ac:dyDescent="0.2">
      <c r="B14" s="99">
        <v>11</v>
      </c>
      <c r="C14" s="56" t="s">
        <v>249</v>
      </c>
      <c r="D14" s="10" t="s">
        <v>85</v>
      </c>
      <c r="E14" s="216" t="s">
        <v>619</v>
      </c>
      <c r="F14" s="188" t="s">
        <v>615</v>
      </c>
      <c r="G14" s="9" t="str">
        <f t="shared" si="1"/>
        <v>VISITA AO HOSPITAL SIRIO LIBANÊS</v>
      </c>
      <c r="H14" s="9" t="s">
        <v>53</v>
      </c>
      <c r="I14" s="18">
        <v>43313</v>
      </c>
      <c r="J14" s="10">
        <v>9</v>
      </c>
      <c r="K14" s="11">
        <v>9</v>
      </c>
      <c r="L14" s="58">
        <v>0</v>
      </c>
      <c r="M14" s="58">
        <v>0</v>
      </c>
      <c r="N14" s="58">
        <v>0</v>
      </c>
      <c r="O14" s="54">
        <f>24+18+52+32+40</f>
        <v>166</v>
      </c>
      <c r="P14" s="14">
        <v>1288.8499999999999</v>
      </c>
      <c r="Q14" s="15">
        <v>0</v>
      </c>
      <c r="R14" s="98">
        <f t="shared" si="0"/>
        <v>1454.85</v>
      </c>
      <c r="S14" s="16"/>
      <c r="T14" s="16"/>
      <c r="U14" s="16"/>
      <c r="V14" s="16"/>
    </row>
    <row r="15" spans="2:36" s="17" customFormat="1" ht="12.75" customHeight="1" x14ac:dyDescent="0.2">
      <c r="B15" s="99">
        <v>12</v>
      </c>
      <c r="C15" s="56" t="s">
        <v>250</v>
      </c>
      <c r="D15" s="10" t="s">
        <v>251</v>
      </c>
      <c r="E15" s="197" t="s">
        <v>605</v>
      </c>
      <c r="F15" s="193" t="s">
        <v>615</v>
      </c>
      <c r="G15" s="9" t="str">
        <f t="shared" si="1"/>
        <v>VISITA AO HOSPITAL SIRIO LIBANÊS</v>
      </c>
      <c r="H15" s="9" t="s">
        <v>53</v>
      </c>
      <c r="I15" s="18">
        <v>43313</v>
      </c>
      <c r="J15" s="10">
        <v>9</v>
      </c>
      <c r="K15" s="11">
        <v>9</v>
      </c>
      <c r="L15" s="58">
        <v>0</v>
      </c>
      <c r="M15" s="58">
        <v>0</v>
      </c>
      <c r="N15" s="58">
        <v>0</v>
      </c>
      <c r="O15" s="54">
        <v>113</v>
      </c>
      <c r="P15" s="14">
        <v>1288.8499999999999</v>
      </c>
      <c r="Q15" s="15">
        <v>0</v>
      </c>
      <c r="R15" s="98">
        <f t="shared" si="0"/>
        <v>1401.85</v>
      </c>
      <c r="S15" s="16"/>
      <c r="T15" s="16"/>
      <c r="U15" s="16"/>
      <c r="V15" s="16"/>
    </row>
    <row r="16" spans="2:36" s="17" customFormat="1" ht="83.25" customHeight="1" thickBot="1" x14ac:dyDescent="0.25">
      <c r="B16" s="100">
        <v>13</v>
      </c>
      <c r="C16" s="101" t="s">
        <v>252</v>
      </c>
      <c r="D16" s="104" t="s">
        <v>121</v>
      </c>
      <c r="E16" s="199" t="s">
        <v>620</v>
      </c>
      <c r="F16" s="249" t="s">
        <v>616</v>
      </c>
      <c r="G16" s="102" t="str">
        <f t="shared" si="1"/>
        <v>FUNCIONÁRIO VIAJARÁ PARA BAHIA ATENDO AO PREVISTO NO TERMO DE COOPERAÇÃO COM A SECRETARIA DA SAÚDE DO ESTADO DA BAHIA, PARA VISITA À COMPANHIA DE PROCESSAMENTO DE DADOS DO ESTADO DA BAHIA, VISANDO A CRIAÇÃO DOS AMBIENTES DE DESENVOLVIMENTO, HOMOLOGAÇÃO E IMPLANTAÇÃO DO AGHUSE.</v>
      </c>
      <c r="H16" s="102" t="s">
        <v>198</v>
      </c>
      <c r="I16" s="103" t="s">
        <v>253</v>
      </c>
      <c r="J16" s="104">
        <v>30</v>
      </c>
      <c r="K16" s="105">
        <v>3</v>
      </c>
      <c r="L16" s="149">
        <v>44</v>
      </c>
      <c r="M16" s="149">
        <v>217.79</v>
      </c>
      <c r="N16" s="149">
        <v>0</v>
      </c>
      <c r="O16" s="106">
        <v>32</v>
      </c>
      <c r="P16" s="107">
        <v>0</v>
      </c>
      <c r="Q16" s="108">
        <f>533.4+82.8</f>
        <v>616.19999999999993</v>
      </c>
      <c r="R16" s="109">
        <f t="shared" si="0"/>
        <v>909.9899999999999</v>
      </c>
      <c r="S16" s="16"/>
      <c r="T16" s="16"/>
      <c r="U16" s="16"/>
      <c r="V16" s="16"/>
    </row>
    <row r="17" spans="2:18" s="16" customFormat="1" ht="24.75" customHeight="1" x14ac:dyDescent="0.2">
      <c r="B17" s="20"/>
      <c r="C17" s="21"/>
      <c r="D17" s="22"/>
      <c r="E17" s="22"/>
      <c r="F17" s="22"/>
      <c r="G17" s="22"/>
      <c r="H17" s="22"/>
      <c r="I17" s="23"/>
      <c r="J17" s="24"/>
      <c r="K17" s="25"/>
      <c r="L17" s="26"/>
      <c r="M17" s="26"/>
      <c r="N17" s="26"/>
      <c r="O17" s="27"/>
      <c r="P17" s="28"/>
      <c r="Q17" s="29"/>
      <c r="R17" s="30"/>
    </row>
    <row r="18" spans="2:18" s="31" customFormat="1" ht="15.75" customHeight="1" x14ac:dyDescent="0.2">
      <c r="C18" s="32"/>
      <c r="D18" s="32"/>
      <c r="E18" s="32"/>
      <c r="F18" s="32"/>
      <c r="G18" s="32"/>
      <c r="H18" s="34"/>
      <c r="I18" s="32"/>
      <c r="J18" s="20"/>
      <c r="K18" s="33"/>
      <c r="L18" s="36">
        <f t="shared" ref="L18:Q18" si="2">SUM(L4:L16)</f>
        <v>322.53999999999996</v>
      </c>
      <c r="M18" s="36">
        <f t="shared" si="2"/>
        <v>489.69999999999993</v>
      </c>
      <c r="N18" s="36">
        <f t="shared" si="2"/>
        <v>0</v>
      </c>
      <c r="O18" s="132">
        <f t="shared" si="2"/>
        <v>546.4</v>
      </c>
      <c r="P18" s="38">
        <f t="shared" si="2"/>
        <v>17143.68</v>
      </c>
      <c r="Q18" s="39">
        <f t="shared" si="2"/>
        <v>6156.3300000000008</v>
      </c>
      <c r="R18" s="37">
        <f>SUM(R4:R16)+O19</f>
        <v>24664.113999999998</v>
      </c>
    </row>
    <row r="19" spans="2:18" s="40" customFormat="1" ht="24.75" customHeight="1" thickBot="1" x14ac:dyDescent="0.3">
      <c r="C19" s="41"/>
      <c r="D19" s="288"/>
      <c r="E19" s="288"/>
      <c r="F19" s="288"/>
      <c r="G19" s="288"/>
      <c r="H19" s="288"/>
      <c r="I19" s="288"/>
      <c r="J19" s="288"/>
      <c r="K19" s="42"/>
      <c r="L19" s="43"/>
      <c r="M19" s="43"/>
      <c r="N19" s="91" t="s">
        <v>315</v>
      </c>
      <c r="O19" s="27">
        <f>O18*1%</f>
        <v>5.4639999999999995</v>
      </c>
      <c r="R19" s="44"/>
    </row>
    <row r="20" spans="2:18" s="40" customFormat="1" ht="24.75" customHeight="1" thickBot="1" x14ac:dyDescent="0.3">
      <c r="C20" s="41"/>
      <c r="D20" s="41"/>
      <c r="E20" s="41"/>
      <c r="F20" s="41"/>
      <c r="G20" s="41"/>
      <c r="H20" s="45"/>
      <c r="I20" s="41"/>
      <c r="J20" s="41"/>
      <c r="K20" s="42"/>
      <c r="L20" s="43"/>
      <c r="M20" s="43"/>
      <c r="N20" s="43"/>
      <c r="O20" s="93">
        <f>O18+O19</f>
        <v>551.86400000000003</v>
      </c>
      <c r="P20" s="46"/>
      <c r="Q20" s="44"/>
      <c r="R20" s="47" t="s">
        <v>50</v>
      </c>
    </row>
    <row r="21" spans="2:18" s="40" customFormat="1" ht="24.75" customHeight="1" x14ac:dyDescent="0.2">
      <c r="C21" s="41"/>
      <c r="D21" s="289"/>
      <c r="E21" s="289"/>
      <c r="F21" s="289"/>
      <c r="G21" s="289"/>
      <c r="H21" s="289"/>
      <c r="I21" s="289"/>
      <c r="J21" s="289"/>
      <c r="K21" s="42"/>
      <c r="L21" s="43"/>
      <c r="M21" s="43"/>
      <c r="N21" s="43"/>
      <c r="O21" s="27"/>
      <c r="P21" s="5" t="s">
        <v>49</v>
      </c>
      <c r="Q21" s="167">
        <f>L18+M18+N18+O20+P18+Q18</f>
        <v>24664.114000000001</v>
      </c>
      <c r="R21" s="48">
        <f>R18-Q21</f>
        <v>0</v>
      </c>
    </row>
    <row r="22" spans="2:18" ht="24.75" customHeight="1" x14ac:dyDescent="0.25">
      <c r="C22" s="49"/>
      <c r="D22" s="50"/>
      <c r="E22" s="50"/>
      <c r="F22" s="50"/>
      <c r="G22" s="50"/>
      <c r="H22" s="51"/>
      <c r="I22" s="52"/>
      <c r="J22" s="52"/>
      <c r="K22" s="52"/>
      <c r="N22" s="91" t="s">
        <v>315</v>
      </c>
      <c r="O22" s="27" t="s">
        <v>316</v>
      </c>
    </row>
    <row r="23" spans="2:18" ht="24.75" customHeight="1" x14ac:dyDescent="0.25">
      <c r="C23" s="49"/>
      <c r="D23" s="50"/>
      <c r="E23" s="50"/>
      <c r="F23" s="50"/>
      <c r="G23" s="50"/>
      <c r="H23" s="51"/>
      <c r="I23" s="52"/>
      <c r="J23" s="52"/>
      <c r="K23" s="52"/>
      <c r="O23" s="27"/>
    </row>
    <row r="24" spans="2:18" ht="24.75" customHeight="1" x14ac:dyDescent="0.25">
      <c r="C24" s="49"/>
      <c r="D24" s="50"/>
      <c r="E24" s="50"/>
      <c r="F24" s="50"/>
      <c r="G24" s="50"/>
      <c r="H24" s="51"/>
      <c r="I24" s="52"/>
      <c r="J24" s="52"/>
      <c r="K24" s="52"/>
      <c r="O24" s="27"/>
    </row>
    <row r="25" spans="2:18" ht="24.75" customHeight="1" x14ac:dyDescent="0.25">
      <c r="C25" s="49"/>
      <c r="D25" s="50"/>
      <c r="E25" s="50"/>
      <c r="F25" s="50"/>
      <c r="G25" s="50"/>
      <c r="H25" s="51"/>
      <c r="I25" s="52"/>
      <c r="J25" s="52"/>
      <c r="K25" s="52"/>
      <c r="O25" s="27"/>
    </row>
    <row r="26" spans="2:18" ht="24.75" customHeight="1" x14ac:dyDescent="0.25">
      <c r="C26" s="49"/>
      <c r="D26" s="50"/>
      <c r="E26" s="50"/>
      <c r="F26" s="50"/>
      <c r="G26" s="50"/>
      <c r="H26" s="51"/>
      <c r="I26" s="52"/>
      <c r="J26" s="52"/>
      <c r="K26" s="52"/>
      <c r="O26" s="27"/>
    </row>
    <row r="27" spans="2:18" ht="24.75" customHeight="1" x14ac:dyDescent="0.25">
      <c r="C27" s="49"/>
      <c r="D27" s="50"/>
      <c r="E27" s="50"/>
      <c r="F27" s="50"/>
      <c r="G27" s="50"/>
      <c r="H27" s="51"/>
      <c r="I27" s="52"/>
      <c r="J27" s="52"/>
      <c r="K27" s="52"/>
      <c r="O27" s="27"/>
    </row>
    <row r="28" spans="2:18" ht="24.75" customHeight="1" x14ac:dyDescent="0.25">
      <c r="C28" s="49"/>
      <c r="D28" s="50"/>
      <c r="E28" s="50"/>
      <c r="F28" s="50"/>
      <c r="G28" s="50"/>
      <c r="H28" s="51"/>
      <c r="I28" s="52"/>
      <c r="J28" s="52"/>
      <c r="K28" s="52"/>
      <c r="O28" s="27"/>
    </row>
    <row r="29" spans="2:18" ht="24.75" customHeight="1" x14ac:dyDescent="0.25">
      <c r="C29" s="49"/>
      <c r="D29" s="50"/>
      <c r="E29" s="50"/>
      <c r="F29" s="50"/>
      <c r="G29" s="50"/>
      <c r="H29" s="51"/>
      <c r="I29" s="52"/>
      <c r="J29" s="52"/>
      <c r="K29" s="52"/>
      <c r="O29" s="27"/>
    </row>
    <row r="30" spans="2:18" ht="24.75" customHeight="1" x14ac:dyDescent="0.25">
      <c r="C30" s="49"/>
      <c r="H30" s="51"/>
      <c r="I30" s="52"/>
      <c r="J30" s="52"/>
      <c r="K30" s="52"/>
      <c r="O30" s="27"/>
    </row>
    <row r="31" spans="2:18" ht="24.75" customHeight="1" x14ac:dyDescent="0.25">
      <c r="C31" s="49"/>
      <c r="D31" s="50"/>
      <c r="E31" s="50"/>
      <c r="F31" s="50"/>
      <c r="G31" s="50"/>
      <c r="H31" s="51"/>
      <c r="I31" s="52"/>
      <c r="J31" s="52"/>
      <c r="K31" s="52"/>
      <c r="O31" s="27"/>
    </row>
    <row r="32" spans="2:18" ht="24.75" customHeight="1" x14ac:dyDescent="0.25">
      <c r="C32" s="49"/>
      <c r="D32" s="50"/>
      <c r="E32" s="50"/>
      <c r="F32" s="50"/>
      <c r="G32" s="50"/>
      <c r="H32" s="51"/>
      <c r="I32" s="52"/>
      <c r="J32" s="52"/>
      <c r="K32" s="52"/>
      <c r="O32" s="53"/>
    </row>
    <row r="33" spans="3:15" ht="24.75" customHeight="1" x14ac:dyDescent="0.25">
      <c r="C33" s="49"/>
      <c r="D33" s="50"/>
      <c r="E33" s="50"/>
      <c r="F33" s="50"/>
      <c r="G33" s="50"/>
      <c r="H33" s="51"/>
      <c r="I33" s="52"/>
      <c r="J33" s="52"/>
      <c r="K33" s="52"/>
      <c r="O33" s="40"/>
    </row>
    <row r="34" spans="3:15" ht="24.75" customHeight="1" x14ac:dyDescent="0.25">
      <c r="C34" s="49"/>
      <c r="D34" s="50"/>
      <c r="E34" s="50"/>
      <c r="F34" s="50"/>
      <c r="G34" s="50"/>
      <c r="H34" s="51"/>
      <c r="I34" s="52"/>
      <c r="J34" s="52"/>
      <c r="K34" s="52"/>
      <c r="O34" s="40"/>
    </row>
    <row r="35" spans="3:15" ht="24.75" customHeight="1" x14ac:dyDescent="0.25">
      <c r="C35" s="49"/>
      <c r="D35" s="50"/>
      <c r="E35" s="50"/>
      <c r="F35" s="50"/>
      <c r="G35" s="50"/>
      <c r="H35" s="51"/>
      <c r="I35" s="52"/>
      <c r="J35" s="52"/>
      <c r="K35" s="52"/>
      <c r="O35" s="40"/>
    </row>
    <row r="36" spans="3:15" ht="24.75" customHeight="1" x14ac:dyDescent="0.25">
      <c r="C36" s="49"/>
      <c r="D36" s="50"/>
      <c r="E36" s="50"/>
      <c r="F36" s="50"/>
      <c r="G36" s="50"/>
      <c r="H36" s="51"/>
      <c r="I36" s="52"/>
      <c r="J36" s="52"/>
      <c r="K36" s="52"/>
    </row>
    <row r="37" spans="3:15" ht="24.75" customHeight="1" x14ac:dyDescent="0.25">
      <c r="C37" s="49"/>
      <c r="D37" s="50"/>
      <c r="E37" s="50"/>
      <c r="F37" s="50"/>
      <c r="G37" s="50"/>
      <c r="H37" s="51"/>
      <c r="I37" s="52"/>
      <c r="J37" s="52"/>
      <c r="K37" s="52"/>
    </row>
    <row r="38" spans="3:15" ht="24.75" customHeight="1" x14ac:dyDescent="0.25">
      <c r="C38" s="49"/>
      <c r="D38" s="50"/>
      <c r="E38" s="50"/>
      <c r="F38" s="50"/>
      <c r="G38" s="50"/>
      <c r="H38" s="51"/>
      <c r="I38" s="52"/>
      <c r="J38" s="52"/>
      <c r="K38" s="52"/>
    </row>
    <row r="39" spans="3:15" ht="24.75" customHeight="1" x14ac:dyDescent="0.25">
      <c r="C39" s="49"/>
      <c r="D39" s="50"/>
      <c r="E39" s="50"/>
      <c r="F39" s="50"/>
      <c r="G39" s="50"/>
      <c r="H39" s="51"/>
      <c r="I39" s="52"/>
      <c r="J39" s="52"/>
      <c r="K39" s="52"/>
    </row>
    <row r="40" spans="3:15" ht="24.75" customHeight="1" x14ac:dyDescent="0.25">
      <c r="C40" s="49"/>
      <c r="D40" s="50"/>
      <c r="E40" s="50"/>
      <c r="F40" s="50"/>
      <c r="G40" s="50"/>
      <c r="H40" s="51"/>
      <c r="I40" s="52"/>
      <c r="J40" s="52"/>
      <c r="K40" s="52"/>
    </row>
    <row r="41" spans="3:15" ht="24.75" customHeight="1" x14ac:dyDescent="0.25">
      <c r="C41" s="49"/>
      <c r="D41" s="50"/>
      <c r="E41" s="50"/>
      <c r="F41" s="50"/>
      <c r="G41" s="50"/>
      <c r="H41" s="51"/>
      <c r="I41" s="52"/>
      <c r="J41" s="52"/>
      <c r="K41" s="52"/>
    </row>
    <row r="42" spans="3:15" ht="24.75" customHeight="1" x14ac:dyDescent="0.25">
      <c r="C42" s="49"/>
      <c r="D42" s="50"/>
      <c r="E42" s="50"/>
      <c r="F42" s="50"/>
      <c r="G42" s="50"/>
      <c r="H42" s="51"/>
      <c r="I42" s="52"/>
      <c r="J42" s="52"/>
      <c r="K42" s="52"/>
    </row>
    <row r="43" spans="3:15" ht="24.75" customHeight="1" x14ac:dyDescent="0.25">
      <c r="C43" s="49"/>
      <c r="D43" s="50"/>
      <c r="E43" s="50"/>
      <c r="F43" s="50"/>
      <c r="G43" s="50"/>
      <c r="H43" s="51"/>
      <c r="I43" s="52"/>
      <c r="J43" s="52"/>
      <c r="K43" s="52"/>
    </row>
    <row r="44" spans="3:15" ht="24.75" customHeight="1" x14ac:dyDescent="0.25">
      <c r="C44" s="49"/>
      <c r="D44" s="50"/>
      <c r="E44" s="50"/>
      <c r="F44" s="50"/>
      <c r="G44" s="50"/>
      <c r="H44" s="51"/>
      <c r="I44" s="52"/>
      <c r="J44" s="52"/>
      <c r="K44" s="52"/>
    </row>
    <row r="45" spans="3:15" ht="24.75" customHeight="1" x14ac:dyDescent="0.25">
      <c r="C45" s="49"/>
      <c r="D45" s="50"/>
      <c r="E45" s="50"/>
      <c r="F45" s="50"/>
      <c r="G45" s="50"/>
      <c r="H45" s="51"/>
      <c r="I45" s="52"/>
      <c r="J45" s="52"/>
      <c r="K45" s="52"/>
    </row>
    <row r="46" spans="3:15" ht="24.75" customHeight="1" x14ac:dyDescent="0.25">
      <c r="C46" s="49"/>
      <c r="D46" s="50"/>
      <c r="E46" s="50"/>
      <c r="F46" s="50"/>
      <c r="G46" s="50"/>
      <c r="H46" s="51"/>
      <c r="I46" s="52"/>
      <c r="J46" s="52"/>
      <c r="K46" s="52"/>
    </row>
    <row r="47" spans="3:15" ht="24.75" customHeight="1" x14ac:dyDescent="0.25">
      <c r="C47" s="49"/>
      <c r="D47" s="50"/>
      <c r="E47" s="50"/>
      <c r="F47" s="50"/>
      <c r="G47" s="50"/>
      <c r="H47" s="51"/>
      <c r="I47" s="52"/>
      <c r="J47" s="52"/>
      <c r="K47" s="52"/>
    </row>
    <row r="48" spans="3:15" ht="24.75" customHeight="1" x14ac:dyDescent="0.25">
      <c r="C48" s="49"/>
      <c r="D48" s="50"/>
      <c r="E48" s="50"/>
      <c r="F48" s="50"/>
      <c r="G48" s="50"/>
      <c r="H48" s="51"/>
      <c r="I48" s="52"/>
      <c r="J48" s="52"/>
      <c r="K48" s="52"/>
    </row>
    <row r="49" spans="3:11" ht="24.75" customHeight="1" x14ac:dyDescent="0.25">
      <c r="C49" s="49"/>
      <c r="D49" s="50"/>
      <c r="E49" s="50"/>
      <c r="F49" s="50"/>
      <c r="G49" s="50"/>
      <c r="H49" s="51"/>
      <c r="I49" s="52"/>
      <c r="J49" s="52"/>
      <c r="K49" s="52"/>
    </row>
    <row r="50" spans="3:11" ht="24.75" customHeight="1" x14ac:dyDescent="0.25">
      <c r="C50" s="49"/>
      <c r="D50" s="50"/>
      <c r="E50" s="50"/>
      <c r="F50" s="50"/>
      <c r="G50" s="50"/>
      <c r="H50" s="51"/>
      <c r="I50" s="52"/>
      <c r="J50" s="52"/>
      <c r="K50" s="52"/>
    </row>
    <row r="51" spans="3:11" ht="24.75" customHeight="1" x14ac:dyDescent="0.25">
      <c r="C51" s="49"/>
      <c r="D51" s="50"/>
      <c r="E51" s="50"/>
      <c r="F51" s="50"/>
      <c r="G51" s="50"/>
      <c r="H51" s="51"/>
      <c r="I51" s="52"/>
      <c r="J51" s="52"/>
      <c r="K51" s="52"/>
    </row>
    <row r="52" spans="3:11" ht="24.75" customHeight="1" x14ac:dyDescent="0.25">
      <c r="C52" s="49"/>
      <c r="D52" s="50"/>
      <c r="E52" s="50"/>
      <c r="F52" s="50"/>
      <c r="G52" s="50"/>
      <c r="H52" s="51"/>
      <c r="I52" s="52"/>
      <c r="J52" s="52"/>
      <c r="K52" s="52"/>
    </row>
    <row r="53" spans="3:11" ht="24.75" customHeight="1" x14ac:dyDescent="0.25">
      <c r="C53" s="49"/>
      <c r="D53" s="50"/>
      <c r="E53" s="50"/>
      <c r="F53" s="50"/>
      <c r="G53" s="50"/>
      <c r="H53" s="51"/>
      <c r="I53" s="52"/>
      <c r="J53" s="52"/>
      <c r="K53" s="52"/>
    </row>
    <row r="54" spans="3:11" ht="24.75" customHeight="1" x14ac:dyDescent="0.25">
      <c r="C54" s="49"/>
      <c r="D54" s="50"/>
      <c r="E54" s="50"/>
      <c r="F54" s="50"/>
      <c r="G54" s="50"/>
      <c r="H54" s="51"/>
      <c r="I54" s="52"/>
      <c r="J54" s="52"/>
      <c r="K54" s="52"/>
    </row>
    <row r="55" spans="3:11" ht="24.75" customHeight="1" x14ac:dyDescent="0.25">
      <c r="C55" s="49"/>
      <c r="D55" s="50"/>
      <c r="E55" s="50"/>
      <c r="F55" s="50"/>
      <c r="G55" s="50"/>
      <c r="H55" s="51"/>
      <c r="I55" s="52"/>
      <c r="J55" s="52"/>
      <c r="K55" s="52"/>
    </row>
    <row r="56" spans="3:11" ht="24.75" customHeight="1" x14ac:dyDescent="0.25">
      <c r="C56" s="49"/>
      <c r="D56" s="50"/>
      <c r="E56" s="50"/>
      <c r="F56" s="50"/>
      <c r="G56" s="50"/>
      <c r="H56" s="51"/>
      <c r="I56" s="52"/>
      <c r="J56" s="52"/>
      <c r="K56" s="52"/>
    </row>
    <row r="57" spans="3:11" ht="24.75" customHeight="1" x14ac:dyDescent="0.25">
      <c r="C57" s="49"/>
      <c r="D57" s="50"/>
      <c r="E57" s="50"/>
      <c r="F57" s="50"/>
      <c r="G57" s="50"/>
      <c r="H57" s="51"/>
      <c r="I57" s="52"/>
      <c r="J57" s="52"/>
      <c r="K57" s="52"/>
    </row>
    <row r="58" spans="3:11" ht="24.75" customHeight="1" x14ac:dyDescent="0.25">
      <c r="C58" s="49"/>
      <c r="D58" s="50"/>
      <c r="E58" s="50"/>
      <c r="F58" s="50"/>
      <c r="G58" s="50"/>
      <c r="H58" s="51"/>
      <c r="I58" s="52"/>
      <c r="J58" s="52"/>
      <c r="K58" s="52"/>
    </row>
    <row r="59" spans="3:11" ht="24.75" customHeight="1" x14ac:dyDescent="0.25">
      <c r="C59" s="49"/>
      <c r="D59" s="50"/>
      <c r="E59" s="50"/>
      <c r="F59" s="50"/>
      <c r="G59" s="50"/>
      <c r="H59" s="51"/>
      <c r="I59" s="52"/>
      <c r="J59" s="52"/>
      <c r="K59" s="52"/>
    </row>
    <row r="60" spans="3:11" ht="24.75" customHeight="1" x14ac:dyDescent="0.25">
      <c r="C60" s="49"/>
      <c r="D60" s="50"/>
      <c r="E60" s="50"/>
      <c r="F60" s="50"/>
      <c r="G60" s="50"/>
      <c r="H60" s="51"/>
      <c r="I60" s="52"/>
      <c r="J60" s="52"/>
      <c r="K60" s="52"/>
    </row>
    <row r="61" spans="3:11" ht="24.75" customHeight="1" x14ac:dyDescent="0.25">
      <c r="C61" s="49"/>
      <c r="D61" s="50"/>
      <c r="E61" s="50"/>
      <c r="F61" s="50"/>
      <c r="G61" s="50"/>
      <c r="H61" s="51"/>
      <c r="I61" s="52"/>
      <c r="J61" s="52"/>
      <c r="K61" s="52"/>
    </row>
    <row r="62" spans="3:11" ht="24.75" customHeight="1" x14ac:dyDescent="0.25">
      <c r="C62" s="49"/>
      <c r="D62" s="50"/>
      <c r="E62" s="50"/>
      <c r="F62" s="50"/>
      <c r="G62" s="50"/>
      <c r="H62" s="51"/>
      <c r="I62" s="52"/>
      <c r="J62" s="52"/>
      <c r="K62" s="52"/>
    </row>
    <row r="63" spans="3:11" ht="24.75" customHeight="1" x14ac:dyDescent="0.25">
      <c r="C63" s="49"/>
      <c r="D63" s="50"/>
      <c r="E63" s="50"/>
      <c r="F63" s="50"/>
      <c r="G63" s="50"/>
      <c r="H63" s="51"/>
      <c r="I63" s="52"/>
      <c r="J63" s="52"/>
      <c r="K63" s="52"/>
    </row>
    <row r="64" spans="3:11" ht="24.75" customHeight="1" x14ac:dyDescent="0.25">
      <c r="C64" s="49"/>
      <c r="D64" s="50"/>
      <c r="E64" s="50"/>
      <c r="F64" s="50"/>
      <c r="G64" s="50"/>
      <c r="H64" s="51"/>
      <c r="I64" s="52"/>
      <c r="J64" s="52"/>
      <c r="K64" s="52"/>
    </row>
    <row r="65" spans="3:11" ht="24.75" customHeight="1" x14ac:dyDescent="0.25">
      <c r="C65" s="49"/>
      <c r="D65" s="50"/>
      <c r="E65" s="50"/>
      <c r="F65" s="50"/>
      <c r="G65" s="50"/>
      <c r="H65" s="51"/>
      <c r="I65" s="52"/>
      <c r="J65" s="52"/>
      <c r="K65" s="52"/>
    </row>
    <row r="66" spans="3:11" ht="24.75" customHeight="1" x14ac:dyDescent="0.25">
      <c r="C66" s="49"/>
      <c r="D66" s="50"/>
      <c r="E66" s="50"/>
      <c r="F66" s="50"/>
      <c r="G66" s="50"/>
      <c r="H66" s="51"/>
      <c r="I66" s="52"/>
      <c r="J66" s="52"/>
      <c r="K66" s="52"/>
    </row>
    <row r="67" spans="3:11" ht="24.75" customHeight="1" x14ac:dyDescent="0.25">
      <c r="C67" s="49"/>
      <c r="D67" s="50"/>
      <c r="E67" s="50"/>
      <c r="F67" s="50"/>
      <c r="G67" s="50"/>
      <c r="H67" s="51"/>
      <c r="I67" s="52"/>
      <c r="J67" s="52"/>
      <c r="K67" s="52"/>
    </row>
    <row r="68" spans="3:11" ht="24.75" customHeight="1" x14ac:dyDescent="0.25">
      <c r="C68" s="49"/>
      <c r="D68" s="50"/>
      <c r="E68" s="50"/>
      <c r="F68" s="50"/>
      <c r="G68" s="50"/>
      <c r="H68" s="51"/>
      <c r="I68" s="52"/>
      <c r="J68" s="52"/>
      <c r="K68" s="52"/>
    </row>
    <row r="69" spans="3:11" ht="24.75" customHeight="1" x14ac:dyDescent="0.25">
      <c r="C69" s="49"/>
      <c r="D69" s="50"/>
      <c r="E69" s="50"/>
      <c r="F69" s="50"/>
      <c r="G69" s="50"/>
      <c r="H69" s="51"/>
      <c r="I69" s="52"/>
      <c r="J69" s="52"/>
      <c r="K69" s="52"/>
    </row>
    <row r="70" spans="3:11" ht="24.75" customHeight="1" x14ac:dyDescent="0.25">
      <c r="C70" s="49"/>
      <c r="D70" s="50"/>
      <c r="E70" s="50"/>
      <c r="F70" s="50"/>
      <c r="G70" s="50"/>
      <c r="H70" s="51"/>
      <c r="I70" s="52"/>
      <c r="J70" s="52"/>
      <c r="K70" s="52"/>
    </row>
    <row r="71" spans="3:11" ht="24.75" customHeight="1" x14ac:dyDescent="0.25">
      <c r="C71" s="49"/>
      <c r="D71" s="50"/>
      <c r="E71" s="50"/>
      <c r="F71" s="50"/>
      <c r="G71" s="50"/>
      <c r="H71" s="51"/>
      <c r="I71" s="52"/>
      <c r="J71" s="52"/>
      <c r="K71" s="52"/>
    </row>
    <row r="72" spans="3:11" ht="24.75" customHeight="1" x14ac:dyDescent="0.25">
      <c r="C72" s="49"/>
      <c r="D72" s="50"/>
      <c r="E72" s="50"/>
      <c r="F72" s="50"/>
      <c r="G72" s="50"/>
      <c r="H72" s="51"/>
      <c r="I72" s="52"/>
      <c r="J72" s="52"/>
      <c r="K72" s="52"/>
    </row>
    <row r="73" spans="3:11" ht="24.75" customHeight="1" x14ac:dyDescent="0.25">
      <c r="C73" s="49"/>
      <c r="D73" s="50"/>
      <c r="E73" s="50"/>
      <c r="F73" s="50"/>
      <c r="G73" s="50"/>
      <c r="H73" s="51"/>
      <c r="I73" s="52"/>
      <c r="J73" s="52"/>
      <c r="K73" s="52"/>
    </row>
    <row r="74" spans="3:11" ht="24.75" customHeight="1" x14ac:dyDescent="0.25">
      <c r="C74" s="49"/>
      <c r="D74" s="50"/>
      <c r="E74" s="50"/>
      <c r="F74" s="50"/>
      <c r="G74" s="50"/>
      <c r="H74" s="51"/>
      <c r="I74" s="52"/>
      <c r="J74" s="52"/>
      <c r="K74" s="52"/>
    </row>
    <row r="75" spans="3:11" ht="24.75" customHeight="1" x14ac:dyDescent="0.25">
      <c r="C75" s="49"/>
      <c r="D75" s="50"/>
      <c r="E75" s="50"/>
      <c r="F75" s="50"/>
      <c r="G75" s="50"/>
      <c r="H75" s="51"/>
      <c r="I75" s="52"/>
      <c r="J75" s="52"/>
      <c r="K75" s="52"/>
    </row>
    <row r="76" spans="3:11" ht="24.75" customHeight="1" x14ac:dyDescent="0.25">
      <c r="C76" s="49"/>
      <c r="D76" s="50"/>
      <c r="E76" s="50"/>
      <c r="F76" s="50"/>
      <c r="G76" s="50"/>
      <c r="H76" s="51"/>
      <c r="I76" s="52"/>
      <c r="J76" s="52"/>
      <c r="K76" s="52"/>
    </row>
    <row r="77" spans="3:11" ht="24.75" customHeight="1" x14ac:dyDescent="0.25">
      <c r="C77" s="49"/>
      <c r="D77" s="50"/>
      <c r="E77" s="50"/>
      <c r="F77" s="50"/>
      <c r="G77" s="50"/>
      <c r="H77" s="51"/>
      <c r="I77" s="52"/>
      <c r="J77" s="52"/>
      <c r="K77" s="52"/>
    </row>
    <row r="78" spans="3:11" ht="24.75" customHeight="1" x14ac:dyDescent="0.25">
      <c r="C78" s="49"/>
      <c r="D78" s="50"/>
      <c r="E78" s="50"/>
      <c r="F78" s="50"/>
      <c r="G78" s="50"/>
      <c r="H78" s="51"/>
      <c r="I78" s="52"/>
      <c r="J78" s="52"/>
      <c r="K78" s="52"/>
    </row>
    <row r="79" spans="3:11" ht="24.75" customHeight="1" x14ac:dyDescent="0.25">
      <c r="C79" s="49"/>
      <c r="D79" s="50"/>
      <c r="E79" s="50"/>
      <c r="F79" s="50"/>
      <c r="G79" s="50"/>
      <c r="H79" s="51"/>
      <c r="I79" s="52"/>
      <c r="J79" s="52"/>
      <c r="K79" s="52"/>
    </row>
    <row r="80" spans="3:11" ht="24.75" customHeight="1" x14ac:dyDescent="0.25">
      <c r="C80" s="49"/>
      <c r="D80" s="50"/>
      <c r="E80" s="50"/>
      <c r="F80" s="50"/>
      <c r="G80" s="50"/>
      <c r="H80" s="51"/>
      <c r="I80" s="52"/>
      <c r="J80" s="52"/>
      <c r="K80" s="52"/>
    </row>
    <row r="81" spans="3:11" ht="24.75" customHeight="1" x14ac:dyDescent="0.25">
      <c r="C81" s="49"/>
      <c r="D81" s="50"/>
      <c r="E81" s="50"/>
      <c r="F81" s="50"/>
      <c r="G81" s="50"/>
      <c r="H81" s="51"/>
      <c r="I81" s="52"/>
      <c r="J81" s="52"/>
      <c r="K81" s="52"/>
    </row>
    <row r="82" spans="3:11" ht="24.75" customHeight="1" x14ac:dyDescent="0.25">
      <c r="C82" s="49"/>
      <c r="D82" s="50"/>
      <c r="E82" s="50"/>
      <c r="F82" s="50"/>
      <c r="G82" s="50"/>
      <c r="H82" s="51"/>
      <c r="I82" s="52"/>
      <c r="J82" s="52"/>
      <c r="K82" s="52"/>
    </row>
    <row r="83" spans="3:11" ht="24.75" customHeight="1" x14ac:dyDescent="0.25">
      <c r="C83" s="49"/>
      <c r="D83" s="50"/>
      <c r="E83" s="50"/>
      <c r="F83" s="50"/>
      <c r="G83" s="50"/>
      <c r="H83" s="51"/>
      <c r="I83" s="52"/>
      <c r="J83" s="52"/>
      <c r="K83" s="52"/>
    </row>
    <row r="84" spans="3:11" ht="24.75" customHeight="1" x14ac:dyDescent="0.25">
      <c r="C84" s="49"/>
      <c r="D84" s="50"/>
      <c r="E84" s="50"/>
      <c r="F84" s="50"/>
      <c r="G84" s="50"/>
      <c r="H84" s="51"/>
      <c r="I84" s="52"/>
      <c r="J84" s="52"/>
      <c r="K84" s="52"/>
    </row>
    <row r="85" spans="3:11" ht="24.75" customHeight="1" x14ac:dyDescent="0.25">
      <c r="C85" s="49"/>
      <c r="D85" s="50"/>
      <c r="E85" s="50"/>
      <c r="F85" s="50"/>
      <c r="G85" s="50"/>
      <c r="H85" s="51"/>
      <c r="I85" s="52"/>
      <c r="J85" s="52"/>
      <c r="K85" s="52"/>
    </row>
    <row r="86" spans="3:11" ht="24.75" customHeight="1" x14ac:dyDescent="0.25">
      <c r="C86" s="49"/>
      <c r="D86" s="50"/>
      <c r="E86" s="50"/>
      <c r="F86" s="50"/>
      <c r="G86" s="50"/>
      <c r="H86" s="51"/>
      <c r="I86" s="52"/>
      <c r="J86" s="52"/>
      <c r="K86" s="52"/>
    </row>
    <row r="87" spans="3:11" ht="24.75" customHeight="1" x14ac:dyDescent="0.25">
      <c r="C87" s="49"/>
      <c r="D87" s="50"/>
      <c r="E87" s="50"/>
      <c r="F87" s="50"/>
      <c r="G87" s="50"/>
      <c r="H87" s="51"/>
      <c r="I87" s="52"/>
      <c r="J87" s="52"/>
      <c r="K87" s="52"/>
    </row>
    <row r="88" spans="3:11" ht="24.75" customHeight="1" x14ac:dyDescent="0.25">
      <c r="C88" s="49"/>
      <c r="D88" s="50"/>
      <c r="E88" s="50"/>
      <c r="F88" s="50"/>
      <c r="G88" s="50"/>
      <c r="H88" s="51"/>
      <c r="I88" s="52"/>
      <c r="J88" s="52"/>
      <c r="K88" s="52"/>
    </row>
    <row r="89" spans="3:11" ht="24.75" customHeight="1" x14ac:dyDescent="0.25">
      <c r="C89" s="49"/>
      <c r="D89" s="50"/>
      <c r="E89" s="50"/>
      <c r="F89" s="50"/>
      <c r="G89" s="50"/>
      <c r="H89" s="51"/>
      <c r="I89" s="52"/>
      <c r="J89" s="52"/>
      <c r="K89" s="52"/>
    </row>
    <row r="90" spans="3:11" ht="24.75" customHeight="1" x14ac:dyDescent="0.25">
      <c r="C90" s="49"/>
      <c r="D90" s="50"/>
      <c r="E90" s="50"/>
      <c r="F90" s="50"/>
      <c r="G90" s="50"/>
      <c r="H90" s="51"/>
      <c r="I90" s="52"/>
      <c r="J90" s="52"/>
      <c r="K90" s="52"/>
    </row>
    <row r="91" spans="3:11" ht="24.75" customHeight="1" x14ac:dyDescent="0.25">
      <c r="C91" s="49"/>
      <c r="D91" s="50"/>
      <c r="E91" s="50"/>
      <c r="F91" s="50"/>
      <c r="G91" s="50"/>
      <c r="H91" s="51"/>
      <c r="I91" s="52"/>
      <c r="J91" s="52"/>
      <c r="K91" s="52"/>
    </row>
    <row r="92" spans="3:11" ht="24.75" customHeight="1" x14ac:dyDescent="0.25">
      <c r="C92" s="49"/>
      <c r="D92" s="50"/>
      <c r="E92" s="50"/>
      <c r="F92" s="50"/>
      <c r="G92" s="50"/>
      <c r="H92" s="51"/>
      <c r="I92" s="52"/>
      <c r="J92" s="52"/>
      <c r="K92" s="52"/>
    </row>
    <row r="93" spans="3:11" ht="24.75" customHeight="1" x14ac:dyDescent="0.25">
      <c r="C93" s="49"/>
      <c r="D93" s="50"/>
      <c r="E93" s="50"/>
      <c r="F93" s="50"/>
      <c r="G93" s="50"/>
      <c r="H93" s="51"/>
      <c r="I93" s="52"/>
      <c r="J93" s="52"/>
      <c r="K93" s="52"/>
    </row>
    <row r="94" spans="3:11" ht="24.75" customHeight="1" x14ac:dyDescent="0.25">
      <c r="C94" s="49"/>
      <c r="D94" s="50"/>
      <c r="E94" s="50"/>
      <c r="F94" s="50"/>
      <c r="G94" s="50"/>
      <c r="H94" s="51"/>
      <c r="I94" s="52"/>
      <c r="J94" s="52"/>
      <c r="K94" s="52"/>
    </row>
    <row r="95" spans="3:11" ht="24.75" customHeight="1" x14ac:dyDescent="0.25">
      <c r="C95" s="49"/>
      <c r="D95" s="50"/>
      <c r="E95" s="50"/>
      <c r="F95" s="50"/>
      <c r="G95" s="50"/>
      <c r="H95" s="51"/>
      <c r="I95" s="52"/>
      <c r="J95" s="52"/>
      <c r="K95" s="52"/>
    </row>
    <row r="96" spans="3:11" ht="24.75" customHeight="1" x14ac:dyDescent="0.25">
      <c r="C96" s="49"/>
      <c r="D96" s="50"/>
      <c r="E96" s="50"/>
      <c r="F96" s="50"/>
      <c r="G96" s="50"/>
      <c r="H96" s="51"/>
      <c r="I96" s="52"/>
      <c r="J96" s="52"/>
      <c r="K96" s="52"/>
    </row>
    <row r="97" spans="3:11" ht="24.75" customHeight="1" x14ac:dyDescent="0.25">
      <c r="C97" s="49"/>
      <c r="D97" s="50"/>
      <c r="E97" s="50"/>
      <c r="F97" s="50"/>
      <c r="G97" s="50"/>
      <c r="H97" s="51"/>
      <c r="I97" s="52"/>
      <c r="J97" s="52"/>
      <c r="K97" s="52"/>
    </row>
    <row r="98" spans="3:11" ht="24.75" customHeight="1" x14ac:dyDescent="0.25">
      <c r="C98" s="49"/>
      <c r="D98" s="50"/>
      <c r="E98" s="50"/>
      <c r="F98" s="50"/>
      <c r="G98" s="50"/>
      <c r="H98" s="51"/>
      <c r="I98" s="52"/>
      <c r="J98" s="52"/>
      <c r="K98" s="52"/>
    </row>
    <row r="99" spans="3:11" ht="24.75" customHeight="1" x14ac:dyDescent="0.25">
      <c r="C99" s="49"/>
      <c r="D99" s="50"/>
      <c r="E99" s="50"/>
      <c r="F99" s="50"/>
      <c r="G99" s="50"/>
      <c r="H99" s="51"/>
      <c r="I99" s="52"/>
      <c r="J99" s="52"/>
      <c r="K99" s="52"/>
    </row>
    <row r="100" spans="3:11" ht="24.75" customHeight="1" x14ac:dyDescent="0.25">
      <c r="C100" s="49"/>
      <c r="D100" s="50"/>
      <c r="E100" s="50"/>
      <c r="F100" s="50"/>
      <c r="G100" s="50"/>
      <c r="H100" s="51"/>
      <c r="I100" s="52"/>
      <c r="J100" s="52"/>
      <c r="K100" s="52"/>
    </row>
  </sheetData>
  <sheetProtection password="EFEB" sheet="1" objects="1" scenarios="1"/>
  <mergeCells count="6">
    <mergeCell ref="B1:R1"/>
    <mergeCell ref="I3:K3"/>
    <mergeCell ref="D19:J19"/>
    <mergeCell ref="D21:J21"/>
    <mergeCell ref="L2:N2"/>
    <mergeCell ref="P2:R2"/>
  </mergeCells>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9"/>
  <dimension ref="B1:AJ114"/>
  <sheetViews>
    <sheetView workbookViewId="0">
      <selection activeCell="E39" sqref="E39"/>
    </sheetView>
  </sheetViews>
  <sheetFormatPr defaultRowHeight="15" x14ac:dyDescent="0.25"/>
  <cols>
    <col min="1" max="1" width="2.7109375" customWidth="1"/>
    <col min="2" max="2" width="7.42578125" customWidth="1"/>
    <col min="3" max="3" width="22.7109375" style="1" hidden="1" customWidth="1"/>
    <col min="4" max="5" width="38.85546875" customWidth="1"/>
    <col min="6" max="6" width="38.85546875" hidden="1" customWidth="1"/>
    <col min="7" max="7" width="38.85546875" customWidth="1"/>
    <col min="8" max="8" width="25.5703125" style="2" customWidth="1"/>
    <col min="9" max="11" width="9.140625" style="3"/>
    <col min="12" max="14" width="14.140625" style="4" customWidth="1"/>
    <col min="15" max="15" width="13.5703125" customWidth="1"/>
    <col min="16" max="16" width="16.28515625" style="5" customWidth="1"/>
    <col min="17" max="17" width="14.85546875" style="6" customWidth="1"/>
    <col min="18" max="18" width="18" style="6" customWidth="1"/>
    <col min="251" max="251" width="7.42578125" customWidth="1"/>
    <col min="252" max="252" width="22.7109375" customWidth="1"/>
    <col min="253" max="253" width="14.140625" customWidth="1"/>
    <col min="254" max="254" width="13.140625" customWidth="1"/>
    <col min="255" max="255" width="8.140625" customWidth="1"/>
    <col min="256" max="256" width="10.85546875" customWidth="1"/>
    <col min="257" max="257" width="38.85546875" customWidth="1"/>
    <col min="258" max="258" width="25.5703125" customWidth="1"/>
    <col min="262" max="262" width="44.85546875" customWidth="1"/>
    <col min="263" max="264" width="14.140625" customWidth="1"/>
    <col min="265" max="265" width="13.85546875" customWidth="1"/>
    <col min="266" max="266" width="13.5703125" customWidth="1"/>
    <col min="267" max="267" width="11.7109375" customWidth="1"/>
    <col min="268" max="268" width="14" customWidth="1"/>
    <col min="269" max="269" width="16.28515625" customWidth="1"/>
    <col min="270" max="270" width="12.5703125" customWidth="1"/>
    <col min="271" max="271" width="13.28515625" customWidth="1"/>
    <col min="272" max="272" width="14.85546875" customWidth="1"/>
    <col min="273" max="273" width="18" customWidth="1"/>
    <col min="274" max="274" width="24" customWidth="1"/>
    <col min="507" max="507" width="7.42578125" customWidth="1"/>
    <col min="508" max="508" width="22.7109375" customWidth="1"/>
    <col min="509" max="509" width="14.140625" customWidth="1"/>
    <col min="510" max="510" width="13.140625" customWidth="1"/>
    <col min="511" max="511" width="8.140625" customWidth="1"/>
    <col min="512" max="512" width="10.85546875" customWidth="1"/>
    <col min="513" max="513" width="38.85546875" customWidth="1"/>
    <col min="514" max="514" width="25.5703125" customWidth="1"/>
    <col min="518" max="518" width="44.85546875" customWidth="1"/>
    <col min="519" max="520" width="14.140625" customWidth="1"/>
    <col min="521" max="521" width="13.85546875" customWidth="1"/>
    <col min="522" max="522" width="13.5703125" customWidth="1"/>
    <col min="523" max="523" width="11.7109375" customWidth="1"/>
    <col min="524" max="524" width="14" customWidth="1"/>
    <col min="525" max="525" width="16.28515625" customWidth="1"/>
    <col min="526" max="526" width="12.5703125" customWidth="1"/>
    <col min="527" max="527" width="13.28515625" customWidth="1"/>
    <col min="528" max="528" width="14.85546875" customWidth="1"/>
    <col min="529" max="529" width="18" customWidth="1"/>
    <col min="530" max="530" width="24" customWidth="1"/>
    <col min="763" max="763" width="7.42578125" customWidth="1"/>
    <col min="764" max="764" width="22.7109375" customWidth="1"/>
    <col min="765" max="765" width="14.140625" customWidth="1"/>
    <col min="766" max="766" width="13.140625" customWidth="1"/>
    <col min="767" max="767" width="8.140625" customWidth="1"/>
    <col min="768" max="768" width="10.85546875" customWidth="1"/>
    <col min="769" max="769" width="38.85546875" customWidth="1"/>
    <col min="770" max="770" width="25.5703125" customWidth="1"/>
    <col min="774" max="774" width="44.85546875" customWidth="1"/>
    <col min="775" max="776" width="14.140625" customWidth="1"/>
    <col min="777" max="777" width="13.85546875" customWidth="1"/>
    <col min="778" max="778" width="13.5703125" customWidth="1"/>
    <col min="779" max="779" width="11.7109375" customWidth="1"/>
    <col min="780" max="780" width="14" customWidth="1"/>
    <col min="781" max="781" width="16.28515625" customWidth="1"/>
    <col min="782" max="782" width="12.5703125" customWidth="1"/>
    <col min="783" max="783" width="13.28515625" customWidth="1"/>
    <col min="784" max="784" width="14.85546875" customWidth="1"/>
    <col min="785" max="785" width="18" customWidth="1"/>
    <col min="786" max="786" width="24" customWidth="1"/>
    <col min="1019" max="1019" width="7.42578125" customWidth="1"/>
    <col min="1020" max="1020" width="22.7109375" customWidth="1"/>
    <col min="1021" max="1021" width="14.140625" customWidth="1"/>
    <col min="1022" max="1022" width="13.140625" customWidth="1"/>
    <col min="1023" max="1023" width="8.140625" customWidth="1"/>
    <col min="1024" max="1024" width="10.85546875" customWidth="1"/>
    <col min="1025" max="1025" width="38.85546875" customWidth="1"/>
    <col min="1026" max="1026" width="25.5703125" customWidth="1"/>
    <col min="1030" max="1030" width="44.85546875" customWidth="1"/>
    <col min="1031" max="1032" width="14.140625" customWidth="1"/>
    <col min="1033" max="1033" width="13.85546875" customWidth="1"/>
    <col min="1034" max="1034" width="13.5703125" customWidth="1"/>
    <col min="1035" max="1035" width="11.7109375" customWidth="1"/>
    <col min="1036" max="1036" width="14" customWidth="1"/>
    <col min="1037" max="1037" width="16.28515625" customWidth="1"/>
    <col min="1038" max="1038" width="12.5703125" customWidth="1"/>
    <col min="1039" max="1039" width="13.28515625" customWidth="1"/>
    <col min="1040" max="1040" width="14.85546875" customWidth="1"/>
    <col min="1041" max="1041" width="18" customWidth="1"/>
    <col min="1042" max="1042" width="24" customWidth="1"/>
    <col min="1275" max="1275" width="7.42578125" customWidth="1"/>
    <col min="1276" max="1276" width="22.7109375" customWidth="1"/>
    <col min="1277" max="1277" width="14.140625" customWidth="1"/>
    <col min="1278" max="1278" width="13.140625" customWidth="1"/>
    <col min="1279" max="1279" width="8.140625" customWidth="1"/>
    <col min="1280" max="1280" width="10.85546875" customWidth="1"/>
    <col min="1281" max="1281" width="38.85546875" customWidth="1"/>
    <col min="1282" max="1282" width="25.5703125" customWidth="1"/>
    <col min="1286" max="1286" width="44.85546875" customWidth="1"/>
    <col min="1287" max="1288" width="14.140625" customWidth="1"/>
    <col min="1289" max="1289" width="13.85546875" customWidth="1"/>
    <col min="1290" max="1290" width="13.5703125" customWidth="1"/>
    <col min="1291" max="1291" width="11.7109375" customWidth="1"/>
    <col min="1292" max="1292" width="14" customWidth="1"/>
    <col min="1293" max="1293" width="16.28515625" customWidth="1"/>
    <col min="1294" max="1294" width="12.5703125" customWidth="1"/>
    <col min="1295" max="1295" width="13.28515625" customWidth="1"/>
    <col min="1296" max="1296" width="14.85546875" customWidth="1"/>
    <col min="1297" max="1297" width="18" customWidth="1"/>
    <col min="1298" max="1298" width="24" customWidth="1"/>
    <col min="1531" max="1531" width="7.42578125" customWidth="1"/>
    <col min="1532" max="1532" width="22.7109375" customWidth="1"/>
    <col min="1533" max="1533" width="14.140625" customWidth="1"/>
    <col min="1534" max="1534" width="13.140625" customWidth="1"/>
    <col min="1535" max="1535" width="8.140625" customWidth="1"/>
    <col min="1536" max="1536" width="10.85546875" customWidth="1"/>
    <col min="1537" max="1537" width="38.85546875" customWidth="1"/>
    <col min="1538" max="1538" width="25.5703125" customWidth="1"/>
    <col min="1542" max="1542" width="44.85546875" customWidth="1"/>
    <col min="1543" max="1544" width="14.140625" customWidth="1"/>
    <col min="1545" max="1545" width="13.85546875" customWidth="1"/>
    <col min="1546" max="1546" width="13.5703125" customWidth="1"/>
    <col min="1547" max="1547" width="11.7109375" customWidth="1"/>
    <col min="1548" max="1548" width="14" customWidth="1"/>
    <col min="1549" max="1549" width="16.28515625" customWidth="1"/>
    <col min="1550" max="1550" width="12.5703125" customWidth="1"/>
    <col min="1551" max="1551" width="13.28515625" customWidth="1"/>
    <col min="1552" max="1552" width="14.85546875" customWidth="1"/>
    <col min="1553" max="1553" width="18" customWidth="1"/>
    <col min="1554" max="1554" width="24" customWidth="1"/>
    <col min="1787" max="1787" width="7.42578125" customWidth="1"/>
    <col min="1788" max="1788" width="22.7109375" customWidth="1"/>
    <col min="1789" max="1789" width="14.140625" customWidth="1"/>
    <col min="1790" max="1790" width="13.140625" customWidth="1"/>
    <col min="1791" max="1791" width="8.140625" customWidth="1"/>
    <col min="1792" max="1792" width="10.85546875" customWidth="1"/>
    <col min="1793" max="1793" width="38.85546875" customWidth="1"/>
    <col min="1794" max="1794" width="25.5703125" customWidth="1"/>
    <col min="1798" max="1798" width="44.85546875" customWidth="1"/>
    <col min="1799" max="1800" width="14.140625" customWidth="1"/>
    <col min="1801" max="1801" width="13.85546875" customWidth="1"/>
    <col min="1802" max="1802" width="13.5703125" customWidth="1"/>
    <col min="1803" max="1803" width="11.7109375" customWidth="1"/>
    <col min="1804" max="1804" width="14" customWidth="1"/>
    <col min="1805" max="1805" width="16.28515625" customWidth="1"/>
    <col min="1806" max="1806" width="12.5703125" customWidth="1"/>
    <col min="1807" max="1807" width="13.28515625" customWidth="1"/>
    <col min="1808" max="1808" width="14.85546875" customWidth="1"/>
    <col min="1809" max="1809" width="18" customWidth="1"/>
    <col min="1810" max="1810" width="24" customWidth="1"/>
    <col min="2043" max="2043" width="7.42578125" customWidth="1"/>
    <col min="2044" max="2044" width="22.7109375" customWidth="1"/>
    <col min="2045" max="2045" width="14.140625" customWidth="1"/>
    <col min="2046" max="2046" width="13.140625" customWidth="1"/>
    <col min="2047" max="2047" width="8.140625" customWidth="1"/>
    <col min="2048" max="2048" width="10.85546875" customWidth="1"/>
    <col min="2049" max="2049" width="38.85546875" customWidth="1"/>
    <col min="2050" max="2050" width="25.5703125" customWidth="1"/>
    <col min="2054" max="2054" width="44.85546875" customWidth="1"/>
    <col min="2055" max="2056" width="14.140625" customWidth="1"/>
    <col min="2057" max="2057" width="13.85546875" customWidth="1"/>
    <col min="2058" max="2058" width="13.5703125" customWidth="1"/>
    <col min="2059" max="2059" width="11.7109375" customWidth="1"/>
    <col min="2060" max="2060" width="14" customWidth="1"/>
    <col min="2061" max="2061" width="16.28515625" customWidth="1"/>
    <col min="2062" max="2062" width="12.5703125" customWidth="1"/>
    <col min="2063" max="2063" width="13.28515625" customWidth="1"/>
    <col min="2064" max="2064" width="14.85546875" customWidth="1"/>
    <col min="2065" max="2065" width="18" customWidth="1"/>
    <col min="2066" max="2066" width="24" customWidth="1"/>
    <col min="2299" max="2299" width="7.42578125" customWidth="1"/>
    <col min="2300" max="2300" width="22.7109375" customWidth="1"/>
    <col min="2301" max="2301" width="14.140625" customWidth="1"/>
    <col min="2302" max="2302" width="13.140625" customWidth="1"/>
    <col min="2303" max="2303" width="8.140625" customWidth="1"/>
    <col min="2304" max="2304" width="10.85546875" customWidth="1"/>
    <col min="2305" max="2305" width="38.85546875" customWidth="1"/>
    <col min="2306" max="2306" width="25.5703125" customWidth="1"/>
    <col min="2310" max="2310" width="44.85546875" customWidth="1"/>
    <col min="2311" max="2312" width="14.140625" customWidth="1"/>
    <col min="2313" max="2313" width="13.85546875" customWidth="1"/>
    <col min="2314" max="2314" width="13.5703125" customWidth="1"/>
    <col min="2315" max="2315" width="11.7109375" customWidth="1"/>
    <col min="2316" max="2316" width="14" customWidth="1"/>
    <col min="2317" max="2317" width="16.28515625" customWidth="1"/>
    <col min="2318" max="2318" width="12.5703125" customWidth="1"/>
    <col min="2319" max="2319" width="13.28515625" customWidth="1"/>
    <col min="2320" max="2320" width="14.85546875" customWidth="1"/>
    <col min="2321" max="2321" width="18" customWidth="1"/>
    <col min="2322" max="2322" width="24" customWidth="1"/>
    <col min="2555" max="2555" width="7.42578125" customWidth="1"/>
    <col min="2556" max="2556" width="22.7109375" customWidth="1"/>
    <col min="2557" max="2557" width="14.140625" customWidth="1"/>
    <col min="2558" max="2558" width="13.140625" customWidth="1"/>
    <col min="2559" max="2559" width="8.140625" customWidth="1"/>
    <col min="2560" max="2560" width="10.85546875" customWidth="1"/>
    <col min="2561" max="2561" width="38.85546875" customWidth="1"/>
    <col min="2562" max="2562" width="25.5703125" customWidth="1"/>
    <col min="2566" max="2566" width="44.85546875" customWidth="1"/>
    <col min="2567" max="2568" width="14.140625" customWidth="1"/>
    <col min="2569" max="2569" width="13.85546875" customWidth="1"/>
    <col min="2570" max="2570" width="13.5703125" customWidth="1"/>
    <col min="2571" max="2571" width="11.7109375" customWidth="1"/>
    <col min="2572" max="2572" width="14" customWidth="1"/>
    <col min="2573" max="2573" width="16.28515625" customWidth="1"/>
    <col min="2574" max="2574" width="12.5703125" customWidth="1"/>
    <col min="2575" max="2575" width="13.28515625" customWidth="1"/>
    <col min="2576" max="2576" width="14.85546875" customWidth="1"/>
    <col min="2577" max="2577" width="18" customWidth="1"/>
    <col min="2578" max="2578" width="24" customWidth="1"/>
    <col min="2811" max="2811" width="7.42578125" customWidth="1"/>
    <col min="2812" max="2812" width="22.7109375" customWidth="1"/>
    <col min="2813" max="2813" width="14.140625" customWidth="1"/>
    <col min="2814" max="2814" width="13.140625" customWidth="1"/>
    <col min="2815" max="2815" width="8.140625" customWidth="1"/>
    <col min="2816" max="2816" width="10.85546875" customWidth="1"/>
    <col min="2817" max="2817" width="38.85546875" customWidth="1"/>
    <col min="2818" max="2818" width="25.5703125" customWidth="1"/>
    <col min="2822" max="2822" width="44.85546875" customWidth="1"/>
    <col min="2823" max="2824" width="14.140625" customWidth="1"/>
    <col min="2825" max="2825" width="13.85546875" customWidth="1"/>
    <col min="2826" max="2826" width="13.5703125" customWidth="1"/>
    <col min="2827" max="2827" width="11.7109375" customWidth="1"/>
    <col min="2828" max="2828" width="14" customWidth="1"/>
    <col min="2829" max="2829" width="16.28515625" customWidth="1"/>
    <col min="2830" max="2830" width="12.5703125" customWidth="1"/>
    <col min="2831" max="2831" width="13.28515625" customWidth="1"/>
    <col min="2832" max="2832" width="14.85546875" customWidth="1"/>
    <col min="2833" max="2833" width="18" customWidth="1"/>
    <col min="2834" max="2834" width="24" customWidth="1"/>
    <col min="3067" max="3067" width="7.42578125" customWidth="1"/>
    <col min="3068" max="3068" width="22.7109375" customWidth="1"/>
    <col min="3069" max="3069" width="14.140625" customWidth="1"/>
    <col min="3070" max="3070" width="13.140625" customWidth="1"/>
    <col min="3071" max="3071" width="8.140625" customWidth="1"/>
    <col min="3072" max="3072" width="10.85546875" customWidth="1"/>
    <col min="3073" max="3073" width="38.85546875" customWidth="1"/>
    <col min="3074" max="3074" width="25.5703125" customWidth="1"/>
    <col min="3078" max="3078" width="44.85546875" customWidth="1"/>
    <col min="3079" max="3080" width="14.140625" customWidth="1"/>
    <col min="3081" max="3081" width="13.85546875" customWidth="1"/>
    <col min="3082" max="3082" width="13.5703125" customWidth="1"/>
    <col min="3083" max="3083" width="11.7109375" customWidth="1"/>
    <col min="3084" max="3084" width="14" customWidth="1"/>
    <col min="3085" max="3085" width="16.28515625" customWidth="1"/>
    <col min="3086" max="3086" width="12.5703125" customWidth="1"/>
    <col min="3087" max="3087" width="13.28515625" customWidth="1"/>
    <col min="3088" max="3088" width="14.85546875" customWidth="1"/>
    <col min="3089" max="3089" width="18" customWidth="1"/>
    <col min="3090" max="3090" width="24" customWidth="1"/>
    <col min="3323" max="3323" width="7.42578125" customWidth="1"/>
    <col min="3324" max="3324" width="22.7109375" customWidth="1"/>
    <col min="3325" max="3325" width="14.140625" customWidth="1"/>
    <col min="3326" max="3326" width="13.140625" customWidth="1"/>
    <col min="3327" max="3327" width="8.140625" customWidth="1"/>
    <col min="3328" max="3328" width="10.85546875" customWidth="1"/>
    <col min="3329" max="3329" width="38.85546875" customWidth="1"/>
    <col min="3330" max="3330" width="25.5703125" customWidth="1"/>
    <col min="3334" max="3334" width="44.85546875" customWidth="1"/>
    <col min="3335" max="3336" width="14.140625" customWidth="1"/>
    <col min="3337" max="3337" width="13.85546875" customWidth="1"/>
    <col min="3338" max="3338" width="13.5703125" customWidth="1"/>
    <col min="3339" max="3339" width="11.7109375" customWidth="1"/>
    <col min="3340" max="3340" width="14" customWidth="1"/>
    <col min="3341" max="3341" width="16.28515625" customWidth="1"/>
    <col min="3342" max="3342" width="12.5703125" customWidth="1"/>
    <col min="3343" max="3343" width="13.28515625" customWidth="1"/>
    <col min="3344" max="3344" width="14.85546875" customWidth="1"/>
    <col min="3345" max="3345" width="18" customWidth="1"/>
    <col min="3346" max="3346" width="24" customWidth="1"/>
    <col min="3579" max="3579" width="7.42578125" customWidth="1"/>
    <col min="3580" max="3580" width="22.7109375" customWidth="1"/>
    <col min="3581" max="3581" width="14.140625" customWidth="1"/>
    <col min="3582" max="3582" width="13.140625" customWidth="1"/>
    <col min="3583" max="3583" width="8.140625" customWidth="1"/>
    <col min="3584" max="3584" width="10.85546875" customWidth="1"/>
    <col min="3585" max="3585" width="38.85546875" customWidth="1"/>
    <col min="3586" max="3586" width="25.5703125" customWidth="1"/>
    <col min="3590" max="3590" width="44.85546875" customWidth="1"/>
    <col min="3591" max="3592" width="14.140625" customWidth="1"/>
    <col min="3593" max="3593" width="13.85546875" customWidth="1"/>
    <col min="3594" max="3594" width="13.5703125" customWidth="1"/>
    <col min="3595" max="3595" width="11.7109375" customWidth="1"/>
    <col min="3596" max="3596" width="14" customWidth="1"/>
    <col min="3597" max="3597" width="16.28515625" customWidth="1"/>
    <col min="3598" max="3598" width="12.5703125" customWidth="1"/>
    <col min="3599" max="3599" width="13.28515625" customWidth="1"/>
    <col min="3600" max="3600" width="14.85546875" customWidth="1"/>
    <col min="3601" max="3601" width="18" customWidth="1"/>
    <col min="3602" max="3602" width="24" customWidth="1"/>
    <col min="3835" max="3835" width="7.42578125" customWidth="1"/>
    <col min="3836" max="3836" width="22.7109375" customWidth="1"/>
    <col min="3837" max="3837" width="14.140625" customWidth="1"/>
    <col min="3838" max="3838" width="13.140625" customWidth="1"/>
    <col min="3839" max="3839" width="8.140625" customWidth="1"/>
    <col min="3840" max="3840" width="10.85546875" customWidth="1"/>
    <col min="3841" max="3841" width="38.85546875" customWidth="1"/>
    <col min="3842" max="3842" width="25.5703125" customWidth="1"/>
    <col min="3846" max="3846" width="44.85546875" customWidth="1"/>
    <col min="3847" max="3848" width="14.140625" customWidth="1"/>
    <col min="3849" max="3849" width="13.85546875" customWidth="1"/>
    <col min="3850" max="3850" width="13.5703125" customWidth="1"/>
    <col min="3851" max="3851" width="11.7109375" customWidth="1"/>
    <col min="3852" max="3852" width="14" customWidth="1"/>
    <col min="3853" max="3853" width="16.28515625" customWidth="1"/>
    <col min="3854" max="3854" width="12.5703125" customWidth="1"/>
    <col min="3855" max="3855" width="13.28515625" customWidth="1"/>
    <col min="3856" max="3856" width="14.85546875" customWidth="1"/>
    <col min="3857" max="3857" width="18" customWidth="1"/>
    <col min="3858" max="3858" width="24" customWidth="1"/>
    <col min="4091" max="4091" width="7.42578125" customWidth="1"/>
    <col min="4092" max="4092" width="22.7109375" customWidth="1"/>
    <col min="4093" max="4093" width="14.140625" customWidth="1"/>
    <col min="4094" max="4094" width="13.140625" customWidth="1"/>
    <col min="4095" max="4095" width="8.140625" customWidth="1"/>
    <col min="4096" max="4096" width="10.85546875" customWidth="1"/>
    <col min="4097" max="4097" width="38.85546875" customWidth="1"/>
    <col min="4098" max="4098" width="25.5703125" customWidth="1"/>
    <col min="4102" max="4102" width="44.85546875" customWidth="1"/>
    <col min="4103" max="4104" width="14.140625" customWidth="1"/>
    <col min="4105" max="4105" width="13.85546875" customWidth="1"/>
    <col min="4106" max="4106" width="13.5703125" customWidth="1"/>
    <col min="4107" max="4107" width="11.7109375" customWidth="1"/>
    <col min="4108" max="4108" width="14" customWidth="1"/>
    <col min="4109" max="4109" width="16.28515625" customWidth="1"/>
    <col min="4110" max="4110" width="12.5703125" customWidth="1"/>
    <col min="4111" max="4111" width="13.28515625" customWidth="1"/>
    <col min="4112" max="4112" width="14.85546875" customWidth="1"/>
    <col min="4113" max="4113" width="18" customWidth="1"/>
    <col min="4114" max="4114" width="24" customWidth="1"/>
    <col min="4347" max="4347" width="7.42578125" customWidth="1"/>
    <col min="4348" max="4348" width="22.7109375" customWidth="1"/>
    <col min="4349" max="4349" width="14.140625" customWidth="1"/>
    <col min="4350" max="4350" width="13.140625" customWidth="1"/>
    <col min="4351" max="4351" width="8.140625" customWidth="1"/>
    <col min="4352" max="4352" width="10.85546875" customWidth="1"/>
    <col min="4353" max="4353" width="38.85546875" customWidth="1"/>
    <col min="4354" max="4354" width="25.5703125" customWidth="1"/>
    <col min="4358" max="4358" width="44.85546875" customWidth="1"/>
    <col min="4359" max="4360" width="14.140625" customWidth="1"/>
    <col min="4361" max="4361" width="13.85546875" customWidth="1"/>
    <col min="4362" max="4362" width="13.5703125" customWidth="1"/>
    <col min="4363" max="4363" width="11.7109375" customWidth="1"/>
    <col min="4364" max="4364" width="14" customWidth="1"/>
    <col min="4365" max="4365" width="16.28515625" customWidth="1"/>
    <col min="4366" max="4366" width="12.5703125" customWidth="1"/>
    <col min="4367" max="4367" width="13.28515625" customWidth="1"/>
    <col min="4368" max="4368" width="14.85546875" customWidth="1"/>
    <col min="4369" max="4369" width="18" customWidth="1"/>
    <col min="4370" max="4370" width="24" customWidth="1"/>
    <col min="4603" max="4603" width="7.42578125" customWidth="1"/>
    <col min="4604" max="4604" width="22.7109375" customWidth="1"/>
    <col min="4605" max="4605" width="14.140625" customWidth="1"/>
    <col min="4606" max="4606" width="13.140625" customWidth="1"/>
    <col min="4607" max="4607" width="8.140625" customWidth="1"/>
    <col min="4608" max="4608" width="10.85546875" customWidth="1"/>
    <col min="4609" max="4609" width="38.85546875" customWidth="1"/>
    <col min="4610" max="4610" width="25.5703125" customWidth="1"/>
    <col min="4614" max="4614" width="44.85546875" customWidth="1"/>
    <col min="4615" max="4616" width="14.140625" customWidth="1"/>
    <col min="4617" max="4617" width="13.85546875" customWidth="1"/>
    <col min="4618" max="4618" width="13.5703125" customWidth="1"/>
    <col min="4619" max="4619" width="11.7109375" customWidth="1"/>
    <col min="4620" max="4620" width="14" customWidth="1"/>
    <col min="4621" max="4621" width="16.28515625" customWidth="1"/>
    <col min="4622" max="4622" width="12.5703125" customWidth="1"/>
    <col min="4623" max="4623" width="13.28515625" customWidth="1"/>
    <col min="4624" max="4624" width="14.85546875" customWidth="1"/>
    <col min="4625" max="4625" width="18" customWidth="1"/>
    <col min="4626" max="4626" width="24" customWidth="1"/>
    <col min="4859" max="4859" width="7.42578125" customWidth="1"/>
    <col min="4860" max="4860" width="22.7109375" customWidth="1"/>
    <col min="4861" max="4861" width="14.140625" customWidth="1"/>
    <col min="4862" max="4862" width="13.140625" customWidth="1"/>
    <col min="4863" max="4863" width="8.140625" customWidth="1"/>
    <col min="4864" max="4864" width="10.85546875" customWidth="1"/>
    <col min="4865" max="4865" width="38.85546875" customWidth="1"/>
    <col min="4866" max="4866" width="25.5703125" customWidth="1"/>
    <col min="4870" max="4870" width="44.85546875" customWidth="1"/>
    <col min="4871" max="4872" width="14.140625" customWidth="1"/>
    <col min="4873" max="4873" width="13.85546875" customWidth="1"/>
    <col min="4874" max="4874" width="13.5703125" customWidth="1"/>
    <col min="4875" max="4875" width="11.7109375" customWidth="1"/>
    <col min="4876" max="4876" width="14" customWidth="1"/>
    <col min="4877" max="4877" width="16.28515625" customWidth="1"/>
    <col min="4878" max="4878" width="12.5703125" customWidth="1"/>
    <col min="4879" max="4879" width="13.28515625" customWidth="1"/>
    <col min="4880" max="4880" width="14.85546875" customWidth="1"/>
    <col min="4881" max="4881" width="18" customWidth="1"/>
    <col min="4882" max="4882" width="24" customWidth="1"/>
    <col min="5115" max="5115" width="7.42578125" customWidth="1"/>
    <col min="5116" max="5116" width="22.7109375" customWidth="1"/>
    <col min="5117" max="5117" width="14.140625" customWidth="1"/>
    <col min="5118" max="5118" width="13.140625" customWidth="1"/>
    <col min="5119" max="5119" width="8.140625" customWidth="1"/>
    <col min="5120" max="5120" width="10.85546875" customWidth="1"/>
    <col min="5121" max="5121" width="38.85546875" customWidth="1"/>
    <col min="5122" max="5122" width="25.5703125" customWidth="1"/>
    <col min="5126" max="5126" width="44.85546875" customWidth="1"/>
    <col min="5127" max="5128" width="14.140625" customWidth="1"/>
    <col min="5129" max="5129" width="13.85546875" customWidth="1"/>
    <col min="5130" max="5130" width="13.5703125" customWidth="1"/>
    <col min="5131" max="5131" width="11.7109375" customWidth="1"/>
    <col min="5132" max="5132" width="14" customWidth="1"/>
    <col min="5133" max="5133" width="16.28515625" customWidth="1"/>
    <col min="5134" max="5134" width="12.5703125" customWidth="1"/>
    <col min="5135" max="5135" width="13.28515625" customWidth="1"/>
    <col min="5136" max="5136" width="14.85546875" customWidth="1"/>
    <col min="5137" max="5137" width="18" customWidth="1"/>
    <col min="5138" max="5138" width="24" customWidth="1"/>
    <col min="5371" max="5371" width="7.42578125" customWidth="1"/>
    <col min="5372" max="5372" width="22.7109375" customWidth="1"/>
    <col min="5373" max="5373" width="14.140625" customWidth="1"/>
    <col min="5374" max="5374" width="13.140625" customWidth="1"/>
    <col min="5375" max="5375" width="8.140625" customWidth="1"/>
    <col min="5376" max="5376" width="10.85546875" customWidth="1"/>
    <col min="5377" max="5377" width="38.85546875" customWidth="1"/>
    <col min="5378" max="5378" width="25.5703125" customWidth="1"/>
    <col min="5382" max="5382" width="44.85546875" customWidth="1"/>
    <col min="5383" max="5384" width="14.140625" customWidth="1"/>
    <col min="5385" max="5385" width="13.85546875" customWidth="1"/>
    <col min="5386" max="5386" width="13.5703125" customWidth="1"/>
    <col min="5387" max="5387" width="11.7109375" customWidth="1"/>
    <col min="5388" max="5388" width="14" customWidth="1"/>
    <col min="5389" max="5389" width="16.28515625" customWidth="1"/>
    <col min="5390" max="5390" width="12.5703125" customWidth="1"/>
    <col min="5391" max="5391" width="13.28515625" customWidth="1"/>
    <col min="5392" max="5392" width="14.85546875" customWidth="1"/>
    <col min="5393" max="5393" width="18" customWidth="1"/>
    <col min="5394" max="5394" width="24" customWidth="1"/>
    <col min="5627" max="5627" width="7.42578125" customWidth="1"/>
    <col min="5628" max="5628" width="22.7109375" customWidth="1"/>
    <col min="5629" max="5629" width="14.140625" customWidth="1"/>
    <col min="5630" max="5630" width="13.140625" customWidth="1"/>
    <col min="5631" max="5631" width="8.140625" customWidth="1"/>
    <col min="5632" max="5632" width="10.85546875" customWidth="1"/>
    <col min="5633" max="5633" width="38.85546875" customWidth="1"/>
    <col min="5634" max="5634" width="25.5703125" customWidth="1"/>
    <col min="5638" max="5638" width="44.85546875" customWidth="1"/>
    <col min="5639" max="5640" width="14.140625" customWidth="1"/>
    <col min="5641" max="5641" width="13.85546875" customWidth="1"/>
    <col min="5642" max="5642" width="13.5703125" customWidth="1"/>
    <col min="5643" max="5643" width="11.7109375" customWidth="1"/>
    <col min="5644" max="5644" width="14" customWidth="1"/>
    <col min="5645" max="5645" width="16.28515625" customWidth="1"/>
    <col min="5646" max="5646" width="12.5703125" customWidth="1"/>
    <col min="5647" max="5647" width="13.28515625" customWidth="1"/>
    <col min="5648" max="5648" width="14.85546875" customWidth="1"/>
    <col min="5649" max="5649" width="18" customWidth="1"/>
    <col min="5650" max="5650" width="24" customWidth="1"/>
    <col min="5883" max="5883" width="7.42578125" customWidth="1"/>
    <col min="5884" max="5884" width="22.7109375" customWidth="1"/>
    <col min="5885" max="5885" width="14.140625" customWidth="1"/>
    <col min="5886" max="5886" width="13.140625" customWidth="1"/>
    <col min="5887" max="5887" width="8.140625" customWidth="1"/>
    <col min="5888" max="5888" width="10.85546875" customWidth="1"/>
    <col min="5889" max="5889" width="38.85546875" customWidth="1"/>
    <col min="5890" max="5890" width="25.5703125" customWidth="1"/>
    <col min="5894" max="5894" width="44.85546875" customWidth="1"/>
    <col min="5895" max="5896" width="14.140625" customWidth="1"/>
    <col min="5897" max="5897" width="13.85546875" customWidth="1"/>
    <col min="5898" max="5898" width="13.5703125" customWidth="1"/>
    <col min="5899" max="5899" width="11.7109375" customWidth="1"/>
    <col min="5900" max="5900" width="14" customWidth="1"/>
    <col min="5901" max="5901" width="16.28515625" customWidth="1"/>
    <col min="5902" max="5902" width="12.5703125" customWidth="1"/>
    <col min="5903" max="5903" width="13.28515625" customWidth="1"/>
    <col min="5904" max="5904" width="14.85546875" customWidth="1"/>
    <col min="5905" max="5905" width="18" customWidth="1"/>
    <col min="5906" max="5906" width="24" customWidth="1"/>
    <col min="6139" max="6139" width="7.42578125" customWidth="1"/>
    <col min="6140" max="6140" width="22.7109375" customWidth="1"/>
    <col min="6141" max="6141" width="14.140625" customWidth="1"/>
    <col min="6142" max="6142" width="13.140625" customWidth="1"/>
    <col min="6143" max="6143" width="8.140625" customWidth="1"/>
    <col min="6144" max="6144" width="10.85546875" customWidth="1"/>
    <col min="6145" max="6145" width="38.85546875" customWidth="1"/>
    <col min="6146" max="6146" width="25.5703125" customWidth="1"/>
    <col min="6150" max="6150" width="44.85546875" customWidth="1"/>
    <col min="6151" max="6152" width="14.140625" customWidth="1"/>
    <col min="6153" max="6153" width="13.85546875" customWidth="1"/>
    <col min="6154" max="6154" width="13.5703125" customWidth="1"/>
    <col min="6155" max="6155" width="11.7109375" customWidth="1"/>
    <col min="6156" max="6156" width="14" customWidth="1"/>
    <col min="6157" max="6157" width="16.28515625" customWidth="1"/>
    <col min="6158" max="6158" width="12.5703125" customWidth="1"/>
    <col min="6159" max="6159" width="13.28515625" customWidth="1"/>
    <col min="6160" max="6160" width="14.85546875" customWidth="1"/>
    <col min="6161" max="6161" width="18" customWidth="1"/>
    <col min="6162" max="6162" width="24" customWidth="1"/>
    <col min="6395" max="6395" width="7.42578125" customWidth="1"/>
    <col min="6396" max="6396" width="22.7109375" customWidth="1"/>
    <col min="6397" max="6397" width="14.140625" customWidth="1"/>
    <col min="6398" max="6398" width="13.140625" customWidth="1"/>
    <col min="6399" max="6399" width="8.140625" customWidth="1"/>
    <col min="6400" max="6400" width="10.85546875" customWidth="1"/>
    <col min="6401" max="6401" width="38.85546875" customWidth="1"/>
    <col min="6402" max="6402" width="25.5703125" customWidth="1"/>
    <col min="6406" max="6406" width="44.85546875" customWidth="1"/>
    <col min="6407" max="6408" width="14.140625" customWidth="1"/>
    <col min="6409" max="6409" width="13.85546875" customWidth="1"/>
    <col min="6410" max="6410" width="13.5703125" customWidth="1"/>
    <col min="6411" max="6411" width="11.7109375" customWidth="1"/>
    <col min="6412" max="6412" width="14" customWidth="1"/>
    <col min="6413" max="6413" width="16.28515625" customWidth="1"/>
    <col min="6414" max="6414" width="12.5703125" customWidth="1"/>
    <col min="6415" max="6415" width="13.28515625" customWidth="1"/>
    <col min="6416" max="6416" width="14.85546875" customWidth="1"/>
    <col min="6417" max="6417" width="18" customWidth="1"/>
    <col min="6418" max="6418" width="24" customWidth="1"/>
    <col min="6651" max="6651" width="7.42578125" customWidth="1"/>
    <col min="6652" max="6652" width="22.7109375" customWidth="1"/>
    <col min="6653" max="6653" width="14.140625" customWidth="1"/>
    <col min="6654" max="6654" width="13.140625" customWidth="1"/>
    <col min="6655" max="6655" width="8.140625" customWidth="1"/>
    <col min="6656" max="6656" width="10.85546875" customWidth="1"/>
    <col min="6657" max="6657" width="38.85546875" customWidth="1"/>
    <col min="6658" max="6658" width="25.5703125" customWidth="1"/>
    <col min="6662" max="6662" width="44.85546875" customWidth="1"/>
    <col min="6663" max="6664" width="14.140625" customWidth="1"/>
    <col min="6665" max="6665" width="13.85546875" customWidth="1"/>
    <col min="6666" max="6666" width="13.5703125" customWidth="1"/>
    <col min="6667" max="6667" width="11.7109375" customWidth="1"/>
    <col min="6668" max="6668" width="14" customWidth="1"/>
    <col min="6669" max="6669" width="16.28515625" customWidth="1"/>
    <col min="6670" max="6670" width="12.5703125" customWidth="1"/>
    <col min="6671" max="6671" width="13.28515625" customWidth="1"/>
    <col min="6672" max="6672" width="14.85546875" customWidth="1"/>
    <col min="6673" max="6673" width="18" customWidth="1"/>
    <col min="6674" max="6674" width="24" customWidth="1"/>
    <col min="6907" max="6907" width="7.42578125" customWidth="1"/>
    <col min="6908" max="6908" width="22.7109375" customWidth="1"/>
    <col min="6909" max="6909" width="14.140625" customWidth="1"/>
    <col min="6910" max="6910" width="13.140625" customWidth="1"/>
    <col min="6911" max="6911" width="8.140625" customWidth="1"/>
    <col min="6912" max="6912" width="10.85546875" customWidth="1"/>
    <col min="6913" max="6913" width="38.85546875" customWidth="1"/>
    <col min="6914" max="6914" width="25.5703125" customWidth="1"/>
    <col min="6918" max="6918" width="44.85546875" customWidth="1"/>
    <col min="6919" max="6920" width="14.140625" customWidth="1"/>
    <col min="6921" max="6921" width="13.85546875" customWidth="1"/>
    <col min="6922" max="6922" width="13.5703125" customWidth="1"/>
    <col min="6923" max="6923" width="11.7109375" customWidth="1"/>
    <col min="6924" max="6924" width="14" customWidth="1"/>
    <col min="6925" max="6925" width="16.28515625" customWidth="1"/>
    <col min="6926" max="6926" width="12.5703125" customWidth="1"/>
    <col min="6927" max="6927" width="13.28515625" customWidth="1"/>
    <col min="6928" max="6928" width="14.85546875" customWidth="1"/>
    <col min="6929" max="6929" width="18" customWidth="1"/>
    <col min="6930" max="6930" width="24" customWidth="1"/>
    <col min="7163" max="7163" width="7.42578125" customWidth="1"/>
    <col min="7164" max="7164" width="22.7109375" customWidth="1"/>
    <col min="7165" max="7165" width="14.140625" customWidth="1"/>
    <col min="7166" max="7166" width="13.140625" customWidth="1"/>
    <col min="7167" max="7167" width="8.140625" customWidth="1"/>
    <col min="7168" max="7168" width="10.85546875" customWidth="1"/>
    <col min="7169" max="7169" width="38.85546875" customWidth="1"/>
    <col min="7170" max="7170" width="25.5703125" customWidth="1"/>
    <col min="7174" max="7174" width="44.85546875" customWidth="1"/>
    <col min="7175" max="7176" width="14.140625" customWidth="1"/>
    <col min="7177" max="7177" width="13.85546875" customWidth="1"/>
    <col min="7178" max="7178" width="13.5703125" customWidth="1"/>
    <col min="7179" max="7179" width="11.7109375" customWidth="1"/>
    <col min="7180" max="7180" width="14" customWidth="1"/>
    <col min="7181" max="7181" width="16.28515625" customWidth="1"/>
    <col min="7182" max="7182" width="12.5703125" customWidth="1"/>
    <col min="7183" max="7183" width="13.28515625" customWidth="1"/>
    <col min="7184" max="7184" width="14.85546875" customWidth="1"/>
    <col min="7185" max="7185" width="18" customWidth="1"/>
    <col min="7186" max="7186" width="24" customWidth="1"/>
    <col min="7419" max="7419" width="7.42578125" customWidth="1"/>
    <col min="7420" max="7420" width="22.7109375" customWidth="1"/>
    <col min="7421" max="7421" width="14.140625" customWidth="1"/>
    <col min="7422" max="7422" width="13.140625" customWidth="1"/>
    <col min="7423" max="7423" width="8.140625" customWidth="1"/>
    <col min="7424" max="7424" width="10.85546875" customWidth="1"/>
    <col min="7425" max="7425" width="38.85546875" customWidth="1"/>
    <col min="7426" max="7426" width="25.5703125" customWidth="1"/>
    <col min="7430" max="7430" width="44.85546875" customWidth="1"/>
    <col min="7431" max="7432" width="14.140625" customWidth="1"/>
    <col min="7433" max="7433" width="13.85546875" customWidth="1"/>
    <col min="7434" max="7434" width="13.5703125" customWidth="1"/>
    <col min="7435" max="7435" width="11.7109375" customWidth="1"/>
    <col min="7436" max="7436" width="14" customWidth="1"/>
    <col min="7437" max="7437" width="16.28515625" customWidth="1"/>
    <col min="7438" max="7438" width="12.5703125" customWidth="1"/>
    <col min="7439" max="7439" width="13.28515625" customWidth="1"/>
    <col min="7440" max="7440" width="14.85546875" customWidth="1"/>
    <col min="7441" max="7441" width="18" customWidth="1"/>
    <col min="7442" max="7442" width="24" customWidth="1"/>
    <col min="7675" max="7675" width="7.42578125" customWidth="1"/>
    <col min="7676" max="7676" width="22.7109375" customWidth="1"/>
    <col min="7677" max="7677" width="14.140625" customWidth="1"/>
    <col min="7678" max="7678" width="13.140625" customWidth="1"/>
    <col min="7679" max="7679" width="8.140625" customWidth="1"/>
    <col min="7680" max="7680" width="10.85546875" customWidth="1"/>
    <col min="7681" max="7681" width="38.85546875" customWidth="1"/>
    <col min="7682" max="7682" width="25.5703125" customWidth="1"/>
    <col min="7686" max="7686" width="44.85546875" customWidth="1"/>
    <col min="7687" max="7688" width="14.140625" customWidth="1"/>
    <col min="7689" max="7689" width="13.85546875" customWidth="1"/>
    <col min="7690" max="7690" width="13.5703125" customWidth="1"/>
    <col min="7691" max="7691" width="11.7109375" customWidth="1"/>
    <col min="7692" max="7692" width="14" customWidth="1"/>
    <col min="7693" max="7693" width="16.28515625" customWidth="1"/>
    <col min="7694" max="7694" width="12.5703125" customWidth="1"/>
    <col min="7695" max="7695" width="13.28515625" customWidth="1"/>
    <col min="7696" max="7696" width="14.85546875" customWidth="1"/>
    <col min="7697" max="7697" width="18" customWidth="1"/>
    <col min="7698" max="7698" width="24" customWidth="1"/>
    <col min="7931" max="7931" width="7.42578125" customWidth="1"/>
    <col min="7932" max="7932" width="22.7109375" customWidth="1"/>
    <col min="7933" max="7933" width="14.140625" customWidth="1"/>
    <col min="7934" max="7934" width="13.140625" customWidth="1"/>
    <col min="7935" max="7935" width="8.140625" customWidth="1"/>
    <col min="7936" max="7936" width="10.85546875" customWidth="1"/>
    <col min="7937" max="7937" width="38.85546875" customWidth="1"/>
    <col min="7938" max="7938" width="25.5703125" customWidth="1"/>
    <col min="7942" max="7942" width="44.85546875" customWidth="1"/>
    <col min="7943" max="7944" width="14.140625" customWidth="1"/>
    <col min="7945" max="7945" width="13.85546875" customWidth="1"/>
    <col min="7946" max="7946" width="13.5703125" customWidth="1"/>
    <col min="7947" max="7947" width="11.7109375" customWidth="1"/>
    <col min="7948" max="7948" width="14" customWidth="1"/>
    <col min="7949" max="7949" width="16.28515625" customWidth="1"/>
    <col min="7950" max="7950" width="12.5703125" customWidth="1"/>
    <col min="7951" max="7951" width="13.28515625" customWidth="1"/>
    <col min="7952" max="7952" width="14.85546875" customWidth="1"/>
    <col min="7953" max="7953" width="18" customWidth="1"/>
    <col min="7954" max="7954" width="24" customWidth="1"/>
    <col min="8187" max="8187" width="7.42578125" customWidth="1"/>
    <col min="8188" max="8188" width="22.7109375" customWidth="1"/>
    <col min="8189" max="8189" width="14.140625" customWidth="1"/>
    <col min="8190" max="8190" width="13.140625" customWidth="1"/>
    <col min="8191" max="8191" width="8.140625" customWidth="1"/>
    <col min="8192" max="8192" width="10.85546875" customWidth="1"/>
    <col min="8193" max="8193" width="38.85546875" customWidth="1"/>
    <col min="8194" max="8194" width="25.5703125" customWidth="1"/>
    <col min="8198" max="8198" width="44.85546875" customWidth="1"/>
    <col min="8199" max="8200" width="14.140625" customWidth="1"/>
    <col min="8201" max="8201" width="13.85546875" customWidth="1"/>
    <col min="8202" max="8202" width="13.5703125" customWidth="1"/>
    <col min="8203" max="8203" width="11.7109375" customWidth="1"/>
    <col min="8204" max="8204" width="14" customWidth="1"/>
    <col min="8205" max="8205" width="16.28515625" customWidth="1"/>
    <col min="8206" max="8206" width="12.5703125" customWidth="1"/>
    <col min="8207" max="8207" width="13.28515625" customWidth="1"/>
    <col min="8208" max="8208" width="14.85546875" customWidth="1"/>
    <col min="8209" max="8209" width="18" customWidth="1"/>
    <col min="8210" max="8210" width="24" customWidth="1"/>
    <col min="8443" max="8443" width="7.42578125" customWidth="1"/>
    <col min="8444" max="8444" width="22.7109375" customWidth="1"/>
    <col min="8445" max="8445" width="14.140625" customWidth="1"/>
    <col min="8446" max="8446" width="13.140625" customWidth="1"/>
    <col min="8447" max="8447" width="8.140625" customWidth="1"/>
    <col min="8448" max="8448" width="10.85546875" customWidth="1"/>
    <col min="8449" max="8449" width="38.85546875" customWidth="1"/>
    <col min="8450" max="8450" width="25.5703125" customWidth="1"/>
    <col min="8454" max="8454" width="44.85546875" customWidth="1"/>
    <col min="8455" max="8456" width="14.140625" customWidth="1"/>
    <col min="8457" max="8457" width="13.85546875" customWidth="1"/>
    <col min="8458" max="8458" width="13.5703125" customWidth="1"/>
    <col min="8459" max="8459" width="11.7109375" customWidth="1"/>
    <col min="8460" max="8460" width="14" customWidth="1"/>
    <col min="8461" max="8461" width="16.28515625" customWidth="1"/>
    <col min="8462" max="8462" width="12.5703125" customWidth="1"/>
    <col min="8463" max="8463" width="13.28515625" customWidth="1"/>
    <col min="8464" max="8464" width="14.85546875" customWidth="1"/>
    <col min="8465" max="8465" width="18" customWidth="1"/>
    <col min="8466" max="8466" width="24" customWidth="1"/>
    <col min="8699" max="8699" width="7.42578125" customWidth="1"/>
    <col min="8700" max="8700" width="22.7109375" customWidth="1"/>
    <col min="8701" max="8701" width="14.140625" customWidth="1"/>
    <col min="8702" max="8702" width="13.140625" customWidth="1"/>
    <col min="8703" max="8703" width="8.140625" customWidth="1"/>
    <col min="8704" max="8704" width="10.85546875" customWidth="1"/>
    <col min="8705" max="8705" width="38.85546875" customWidth="1"/>
    <col min="8706" max="8706" width="25.5703125" customWidth="1"/>
    <col min="8710" max="8710" width="44.85546875" customWidth="1"/>
    <col min="8711" max="8712" width="14.140625" customWidth="1"/>
    <col min="8713" max="8713" width="13.85546875" customWidth="1"/>
    <col min="8714" max="8714" width="13.5703125" customWidth="1"/>
    <col min="8715" max="8715" width="11.7109375" customWidth="1"/>
    <col min="8716" max="8716" width="14" customWidth="1"/>
    <col min="8717" max="8717" width="16.28515625" customWidth="1"/>
    <col min="8718" max="8718" width="12.5703125" customWidth="1"/>
    <col min="8719" max="8719" width="13.28515625" customWidth="1"/>
    <col min="8720" max="8720" width="14.85546875" customWidth="1"/>
    <col min="8721" max="8721" width="18" customWidth="1"/>
    <col min="8722" max="8722" width="24" customWidth="1"/>
    <col min="8955" max="8955" width="7.42578125" customWidth="1"/>
    <col min="8956" max="8956" width="22.7109375" customWidth="1"/>
    <col min="8957" max="8957" width="14.140625" customWidth="1"/>
    <col min="8958" max="8958" width="13.140625" customWidth="1"/>
    <col min="8959" max="8959" width="8.140625" customWidth="1"/>
    <col min="8960" max="8960" width="10.85546875" customWidth="1"/>
    <col min="8961" max="8961" width="38.85546875" customWidth="1"/>
    <col min="8962" max="8962" width="25.5703125" customWidth="1"/>
    <col min="8966" max="8966" width="44.85546875" customWidth="1"/>
    <col min="8967" max="8968" width="14.140625" customWidth="1"/>
    <col min="8969" max="8969" width="13.85546875" customWidth="1"/>
    <col min="8970" max="8970" width="13.5703125" customWidth="1"/>
    <col min="8971" max="8971" width="11.7109375" customWidth="1"/>
    <col min="8972" max="8972" width="14" customWidth="1"/>
    <col min="8973" max="8973" width="16.28515625" customWidth="1"/>
    <col min="8974" max="8974" width="12.5703125" customWidth="1"/>
    <col min="8975" max="8975" width="13.28515625" customWidth="1"/>
    <col min="8976" max="8976" width="14.85546875" customWidth="1"/>
    <col min="8977" max="8977" width="18" customWidth="1"/>
    <col min="8978" max="8978" width="24" customWidth="1"/>
    <col min="9211" max="9211" width="7.42578125" customWidth="1"/>
    <col min="9212" max="9212" width="22.7109375" customWidth="1"/>
    <col min="9213" max="9213" width="14.140625" customWidth="1"/>
    <col min="9214" max="9214" width="13.140625" customWidth="1"/>
    <col min="9215" max="9215" width="8.140625" customWidth="1"/>
    <col min="9216" max="9216" width="10.85546875" customWidth="1"/>
    <col min="9217" max="9217" width="38.85546875" customWidth="1"/>
    <col min="9218" max="9218" width="25.5703125" customWidth="1"/>
    <col min="9222" max="9222" width="44.85546875" customWidth="1"/>
    <col min="9223" max="9224" width="14.140625" customWidth="1"/>
    <col min="9225" max="9225" width="13.85546875" customWidth="1"/>
    <col min="9226" max="9226" width="13.5703125" customWidth="1"/>
    <col min="9227" max="9227" width="11.7109375" customWidth="1"/>
    <col min="9228" max="9228" width="14" customWidth="1"/>
    <col min="9229" max="9229" width="16.28515625" customWidth="1"/>
    <col min="9230" max="9230" width="12.5703125" customWidth="1"/>
    <col min="9231" max="9231" width="13.28515625" customWidth="1"/>
    <col min="9232" max="9232" width="14.85546875" customWidth="1"/>
    <col min="9233" max="9233" width="18" customWidth="1"/>
    <col min="9234" max="9234" width="24" customWidth="1"/>
    <col min="9467" max="9467" width="7.42578125" customWidth="1"/>
    <col min="9468" max="9468" width="22.7109375" customWidth="1"/>
    <col min="9469" max="9469" width="14.140625" customWidth="1"/>
    <col min="9470" max="9470" width="13.140625" customWidth="1"/>
    <col min="9471" max="9471" width="8.140625" customWidth="1"/>
    <col min="9472" max="9472" width="10.85546875" customWidth="1"/>
    <col min="9473" max="9473" width="38.85546875" customWidth="1"/>
    <col min="9474" max="9474" width="25.5703125" customWidth="1"/>
    <col min="9478" max="9478" width="44.85546875" customWidth="1"/>
    <col min="9479" max="9480" width="14.140625" customWidth="1"/>
    <col min="9481" max="9481" width="13.85546875" customWidth="1"/>
    <col min="9482" max="9482" width="13.5703125" customWidth="1"/>
    <col min="9483" max="9483" width="11.7109375" customWidth="1"/>
    <col min="9484" max="9484" width="14" customWidth="1"/>
    <col min="9485" max="9485" width="16.28515625" customWidth="1"/>
    <col min="9486" max="9486" width="12.5703125" customWidth="1"/>
    <col min="9487" max="9487" width="13.28515625" customWidth="1"/>
    <col min="9488" max="9488" width="14.85546875" customWidth="1"/>
    <col min="9489" max="9489" width="18" customWidth="1"/>
    <col min="9490" max="9490" width="24" customWidth="1"/>
    <col min="9723" max="9723" width="7.42578125" customWidth="1"/>
    <col min="9724" max="9724" width="22.7109375" customWidth="1"/>
    <col min="9725" max="9725" width="14.140625" customWidth="1"/>
    <col min="9726" max="9726" width="13.140625" customWidth="1"/>
    <col min="9727" max="9727" width="8.140625" customWidth="1"/>
    <col min="9728" max="9728" width="10.85546875" customWidth="1"/>
    <col min="9729" max="9729" width="38.85546875" customWidth="1"/>
    <col min="9730" max="9730" width="25.5703125" customWidth="1"/>
    <col min="9734" max="9734" width="44.85546875" customWidth="1"/>
    <col min="9735" max="9736" width="14.140625" customWidth="1"/>
    <col min="9737" max="9737" width="13.85546875" customWidth="1"/>
    <col min="9738" max="9738" width="13.5703125" customWidth="1"/>
    <col min="9739" max="9739" width="11.7109375" customWidth="1"/>
    <col min="9740" max="9740" width="14" customWidth="1"/>
    <col min="9741" max="9741" width="16.28515625" customWidth="1"/>
    <col min="9742" max="9742" width="12.5703125" customWidth="1"/>
    <col min="9743" max="9743" width="13.28515625" customWidth="1"/>
    <col min="9744" max="9744" width="14.85546875" customWidth="1"/>
    <col min="9745" max="9745" width="18" customWidth="1"/>
    <col min="9746" max="9746" width="24" customWidth="1"/>
    <col min="9979" max="9979" width="7.42578125" customWidth="1"/>
    <col min="9980" max="9980" width="22.7109375" customWidth="1"/>
    <col min="9981" max="9981" width="14.140625" customWidth="1"/>
    <col min="9982" max="9982" width="13.140625" customWidth="1"/>
    <col min="9983" max="9983" width="8.140625" customWidth="1"/>
    <col min="9984" max="9984" width="10.85546875" customWidth="1"/>
    <col min="9985" max="9985" width="38.85546875" customWidth="1"/>
    <col min="9986" max="9986" width="25.5703125" customWidth="1"/>
    <col min="9990" max="9990" width="44.85546875" customWidth="1"/>
    <col min="9991" max="9992" width="14.140625" customWidth="1"/>
    <col min="9993" max="9993" width="13.85546875" customWidth="1"/>
    <col min="9994" max="9994" width="13.5703125" customWidth="1"/>
    <col min="9995" max="9995" width="11.7109375" customWidth="1"/>
    <col min="9996" max="9996" width="14" customWidth="1"/>
    <col min="9997" max="9997" width="16.28515625" customWidth="1"/>
    <col min="9998" max="9998" width="12.5703125" customWidth="1"/>
    <col min="9999" max="9999" width="13.28515625" customWidth="1"/>
    <col min="10000" max="10000" width="14.85546875" customWidth="1"/>
    <col min="10001" max="10001" width="18" customWidth="1"/>
    <col min="10002" max="10002" width="24" customWidth="1"/>
    <col min="10235" max="10235" width="7.42578125" customWidth="1"/>
    <col min="10236" max="10236" width="22.7109375" customWidth="1"/>
    <col min="10237" max="10237" width="14.140625" customWidth="1"/>
    <col min="10238" max="10238" width="13.140625" customWidth="1"/>
    <col min="10239" max="10239" width="8.140625" customWidth="1"/>
    <col min="10240" max="10240" width="10.85546875" customWidth="1"/>
    <col min="10241" max="10241" width="38.85546875" customWidth="1"/>
    <col min="10242" max="10242" width="25.5703125" customWidth="1"/>
    <col min="10246" max="10246" width="44.85546875" customWidth="1"/>
    <col min="10247" max="10248" width="14.140625" customWidth="1"/>
    <col min="10249" max="10249" width="13.85546875" customWidth="1"/>
    <col min="10250" max="10250" width="13.5703125" customWidth="1"/>
    <col min="10251" max="10251" width="11.7109375" customWidth="1"/>
    <col min="10252" max="10252" width="14" customWidth="1"/>
    <col min="10253" max="10253" width="16.28515625" customWidth="1"/>
    <col min="10254" max="10254" width="12.5703125" customWidth="1"/>
    <col min="10255" max="10255" width="13.28515625" customWidth="1"/>
    <col min="10256" max="10256" width="14.85546875" customWidth="1"/>
    <col min="10257" max="10257" width="18" customWidth="1"/>
    <col min="10258" max="10258" width="24" customWidth="1"/>
    <col min="10491" max="10491" width="7.42578125" customWidth="1"/>
    <col min="10492" max="10492" width="22.7109375" customWidth="1"/>
    <col min="10493" max="10493" width="14.140625" customWidth="1"/>
    <col min="10494" max="10494" width="13.140625" customWidth="1"/>
    <col min="10495" max="10495" width="8.140625" customWidth="1"/>
    <col min="10496" max="10496" width="10.85546875" customWidth="1"/>
    <col min="10497" max="10497" width="38.85546875" customWidth="1"/>
    <col min="10498" max="10498" width="25.5703125" customWidth="1"/>
    <col min="10502" max="10502" width="44.85546875" customWidth="1"/>
    <col min="10503" max="10504" width="14.140625" customWidth="1"/>
    <col min="10505" max="10505" width="13.85546875" customWidth="1"/>
    <col min="10506" max="10506" width="13.5703125" customWidth="1"/>
    <col min="10507" max="10507" width="11.7109375" customWidth="1"/>
    <col min="10508" max="10508" width="14" customWidth="1"/>
    <col min="10509" max="10509" width="16.28515625" customWidth="1"/>
    <col min="10510" max="10510" width="12.5703125" customWidth="1"/>
    <col min="10511" max="10511" width="13.28515625" customWidth="1"/>
    <col min="10512" max="10512" width="14.85546875" customWidth="1"/>
    <col min="10513" max="10513" width="18" customWidth="1"/>
    <col min="10514" max="10514" width="24" customWidth="1"/>
    <col min="10747" max="10747" width="7.42578125" customWidth="1"/>
    <col min="10748" max="10748" width="22.7109375" customWidth="1"/>
    <col min="10749" max="10749" width="14.140625" customWidth="1"/>
    <col min="10750" max="10750" width="13.140625" customWidth="1"/>
    <col min="10751" max="10751" width="8.140625" customWidth="1"/>
    <col min="10752" max="10752" width="10.85546875" customWidth="1"/>
    <col min="10753" max="10753" width="38.85546875" customWidth="1"/>
    <col min="10754" max="10754" width="25.5703125" customWidth="1"/>
    <col min="10758" max="10758" width="44.85546875" customWidth="1"/>
    <col min="10759" max="10760" width="14.140625" customWidth="1"/>
    <col min="10761" max="10761" width="13.85546875" customWidth="1"/>
    <col min="10762" max="10762" width="13.5703125" customWidth="1"/>
    <col min="10763" max="10763" width="11.7109375" customWidth="1"/>
    <col min="10764" max="10764" width="14" customWidth="1"/>
    <col min="10765" max="10765" width="16.28515625" customWidth="1"/>
    <col min="10766" max="10766" width="12.5703125" customWidth="1"/>
    <col min="10767" max="10767" width="13.28515625" customWidth="1"/>
    <col min="10768" max="10768" width="14.85546875" customWidth="1"/>
    <col min="10769" max="10769" width="18" customWidth="1"/>
    <col min="10770" max="10770" width="24" customWidth="1"/>
    <col min="11003" max="11003" width="7.42578125" customWidth="1"/>
    <col min="11004" max="11004" width="22.7109375" customWidth="1"/>
    <col min="11005" max="11005" width="14.140625" customWidth="1"/>
    <col min="11006" max="11006" width="13.140625" customWidth="1"/>
    <col min="11007" max="11007" width="8.140625" customWidth="1"/>
    <col min="11008" max="11008" width="10.85546875" customWidth="1"/>
    <col min="11009" max="11009" width="38.85546875" customWidth="1"/>
    <col min="11010" max="11010" width="25.5703125" customWidth="1"/>
    <col min="11014" max="11014" width="44.85546875" customWidth="1"/>
    <col min="11015" max="11016" width="14.140625" customWidth="1"/>
    <col min="11017" max="11017" width="13.85546875" customWidth="1"/>
    <col min="11018" max="11018" width="13.5703125" customWidth="1"/>
    <col min="11019" max="11019" width="11.7109375" customWidth="1"/>
    <col min="11020" max="11020" width="14" customWidth="1"/>
    <col min="11021" max="11021" width="16.28515625" customWidth="1"/>
    <col min="11022" max="11022" width="12.5703125" customWidth="1"/>
    <col min="11023" max="11023" width="13.28515625" customWidth="1"/>
    <col min="11024" max="11024" width="14.85546875" customWidth="1"/>
    <col min="11025" max="11025" width="18" customWidth="1"/>
    <col min="11026" max="11026" width="24" customWidth="1"/>
    <col min="11259" max="11259" width="7.42578125" customWidth="1"/>
    <col min="11260" max="11260" width="22.7109375" customWidth="1"/>
    <col min="11261" max="11261" width="14.140625" customWidth="1"/>
    <col min="11262" max="11262" width="13.140625" customWidth="1"/>
    <col min="11263" max="11263" width="8.140625" customWidth="1"/>
    <col min="11264" max="11264" width="10.85546875" customWidth="1"/>
    <col min="11265" max="11265" width="38.85546875" customWidth="1"/>
    <col min="11266" max="11266" width="25.5703125" customWidth="1"/>
    <col min="11270" max="11270" width="44.85546875" customWidth="1"/>
    <col min="11271" max="11272" width="14.140625" customWidth="1"/>
    <col min="11273" max="11273" width="13.85546875" customWidth="1"/>
    <col min="11274" max="11274" width="13.5703125" customWidth="1"/>
    <col min="11275" max="11275" width="11.7109375" customWidth="1"/>
    <col min="11276" max="11276" width="14" customWidth="1"/>
    <col min="11277" max="11277" width="16.28515625" customWidth="1"/>
    <col min="11278" max="11278" width="12.5703125" customWidth="1"/>
    <col min="11279" max="11279" width="13.28515625" customWidth="1"/>
    <col min="11280" max="11280" width="14.85546875" customWidth="1"/>
    <col min="11281" max="11281" width="18" customWidth="1"/>
    <col min="11282" max="11282" width="24" customWidth="1"/>
    <col min="11515" max="11515" width="7.42578125" customWidth="1"/>
    <col min="11516" max="11516" width="22.7109375" customWidth="1"/>
    <col min="11517" max="11517" width="14.140625" customWidth="1"/>
    <col min="11518" max="11518" width="13.140625" customWidth="1"/>
    <col min="11519" max="11519" width="8.140625" customWidth="1"/>
    <col min="11520" max="11520" width="10.85546875" customWidth="1"/>
    <col min="11521" max="11521" width="38.85546875" customWidth="1"/>
    <col min="11522" max="11522" width="25.5703125" customWidth="1"/>
    <col min="11526" max="11526" width="44.85546875" customWidth="1"/>
    <col min="11527" max="11528" width="14.140625" customWidth="1"/>
    <col min="11529" max="11529" width="13.85546875" customWidth="1"/>
    <col min="11530" max="11530" width="13.5703125" customWidth="1"/>
    <col min="11531" max="11531" width="11.7109375" customWidth="1"/>
    <col min="11532" max="11532" width="14" customWidth="1"/>
    <col min="11533" max="11533" width="16.28515625" customWidth="1"/>
    <col min="11534" max="11534" width="12.5703125" customWidth="1"/>
    <col min="11535" max="11535" width="13.28515625" customWidth="1"/>
    <col min="11536" max="11536" width="14.85546875" customWidth="1"/>
    <col min="11537" max="11537" width="18" customWidth="1"/>
    <col min="11538" max="11538" width="24" customWidth="1"/>
    <col min="11771" max="11771" width="7.42578125" customWidth="1"/>
    <col min="11772" max="11772" width="22.7109375" customWidth="1"/>
    <col min="11773" max="11773" width="14.140625" customWidth="1"/>
    <col min="11774" max="11774" width="13.140625" customWidth="1"/>
    <col min="11775" max="11775" width="8.140625" customWidth="1"/>
    <col min="11776" max="11776" width="10.85546875" customWidth="1"/>
    <col min="11777" max="11777" width="38.85546875" customWidth="1"/>
    <col min="11778" max="11778" width="25.5703125" customWidth="1"/>
    <col min="11782" max="11782" width="44.85546875" customWidth="1"/>
    <col min="11783" max="11784" width="14.140625" customWidth="1"/>
    <col min="11785" max="11785" width="13.85546875" customWidth="1"/>
    <col min="11786" max="11786" width="13.5703125" customWidth="1"/>
    <col min="11787" max="11787" width="11.7109375" customWidth="1"/>
    <col min="11788" max="11788" width="14" customWidth="1"/>
    <col min="11789" max="11789" width="16.28515625" customWidth="1"/>
    <col min="11790" max="11790" width="12.5703125" customWidth="1"/>
    <col min="11791" max="11791" width="13.28515625" customWidth="1"/>
    <col min="11792" max="11792" width="14.85546875" customWidth="1"/>
    <col min="11793" max="11793" width="18" customWidth="1"/>
    <col min="11794" max="11794" width="24" customWidth="1"/>
    <col min="12027" max="12027" width="7.42578125" customWidth="1"/>
    <col min="12028" max="12028" width="22.7109375" customWidth="1"/>
    <col min="12029" max="12029" width="14.140625" customWidth="1"/>
    <col min="12030" max="12030" width="13.140625" customWidth="1"/>
    <col min="12031" max="12031" width="8.140625" customWidth="1"/>
    <col min="12032" max="12032" width="10.85546875" customWidth="1"/>
    <col min="12033" max="12033" width="38.85546875" customWidth="1"/>
    <col min="12034" max="12034" width="25.5703125" customWidth="1"/>
    <col min="12038" max="12038" width="44.85546875" customWidth="1"/>
    <col min="12039" max="12040" width="14.140625" customWidth="1"/>
    <col min="12041" max="12041" width="13.85546875" customWidth="1"/>
    <col min="12042" max="12042" width="13.5703125" customWidth="1"/>
    <col min="12043" max="12043" width="11.7109375" customWidth="1"/>
    <col min="12044" max="12044" width="14" customWidth="1"/>
    <col min="12045" max="12045" width="16.28515625" customWidth="1"/>
    <col min="12046" max="12046" width="12.5703125" customWidth="1"/>
    <col min="12047" max="12047" width="13.28515625" customWidth="1"/>
    <col min="12048" max="12048" width="14.85546875" customWidth="1"/>
    <col min="12049" max="12049" width="18" customWidth="1"/>
    <col min="12050" max="12050" width="24" customWidth="1"/>
    <col min="12283" max="12283" width="7.42578125" customWidth="1"/>
    <col min="12284" max="12284" width="22.7109375" customWidth="1"/>
    <col min="12285" max="12285" width="14.140625" customWidth="1"/>
    <col min="12286" max="12286" width="13.140625" customWidth="1"/>
    <col min="12287" max="12287" width="8.140625" customWidth="1"/>
    <col min="12288" max="12288" width="10.85546875" customWidth="1"/>
    <col min="12289" max="12289" width="38.85546875" customWidth="1"/>
    <col min="12290" max="12290" width="25.5703125" customWidth="1"/>
    <col min="12294" max="12294" width="44.85546875" customWidth="1"/>
    <col min="12295" max="12296" width="14.140625" customWidth="1"/>
    <col min="12297" max="12297" width="13.85546875" customWidth="1"/>
    <col min="12298" max="12298" width="13.5703125" customWidth="1"/>
    <col min="12299" max="12299" width="11.7109375" customWidth="1"/>
    <col min="12300" max="12300" width="14" customWidth="1"/>
    <col min="12301" max="12301" width="16.28515625" customWidth="1"/>
    <col min="12302" max="12302" width="12.5703125" customWidth="1"/>
    <col min="12303" max="12303" width="13.28515625" customWidth="1"/>
    <col min="12304" max="12304" width="14.85546875" customWidth="1"/>
    <col min="12305" max="12305" width="18" customWidth="1"/>
    <col min="12306" max="12306" width="24" customWidth="1"/>
    <col min="12539" max="12539" width="7.42578125" customWidth="1"/>
    <col min="12540" max="12540" width="22.7109375" customWidth="1"/>
    <col min="12541" max="12541" width="14.140625" customWidth="1"/>
    <col min="12542" max="12542" width="13.140625" customWidth="1"/>
    <col min="12543" max="12543" width="8.140625" customWidth="1"/>
    <col min="12544" max="12544" width="10.85546875" customWidth="1"/>
    <col min="12545" max="12545" width="38.85546875" customWidth="1"/>
    <col min="12546" max="12546" width="25.5703125" customWidth="1"/>
    <col min="12550" max="12550" width="44.85546875" customWidth="1"/>
    <col min="12551" max="12552" width="14.140625" customWidth="1"/>
    <col min="12553" max="12553" width="13.85546875" customWidth="1"/>
    <col min="12554" max="12554" width="13.5703125" customWidth="1"/>
    <col min="12555" max="12555" width="11.7109375" customWidth="1"/>
    <col min="12556" max="12556" width="14" customWidth="1"/>
    <col min="12557" max="12557" width="16.28515625" customWidth="1"/>
    <col min="12558" max="12558" width="12.5703125" customWidth="1"/>
    <col min="12559" max="12559" width="13.28515625" customWidth="1"/>
    <col min="12560" max="12560" width="14.85546875" customWidth="1"/>
    <col min="12561" max="12561" width="18" customWidth="1"/>
    <col min="12562" max="12562" width="24" customWidth="1"/>
    <col min="12795" max="12795" width="7.42578125" customWidth="1"/>
    <col min="12796" max="12796" width="22.7109375" customWidth="1"/>
    <col min="12797" max="12797" width="14.140625" customWidth="1"/>
    <col min="12798" max="12798" width="13.140625" customWidth="1"/>
    <col min="12799" max="12799" width="8.140625" customWidth="1"/>
    <col min="12800" max="12800" width="10.85546875" customWidth="1"/>
    <col min="12801" max="12801" width="38.85546875" customWidth="1"/>
    <col min="12802" max="12802" width="25.5703125" customWidth="1"/>
    <col min="12806" max="12806" width="44.85546875" customWidth="1"/>
    <col min="12807" max="12808" width="14.140625" customWidth="1"/>
    <col min="12809" max="12809" width="13.85546875" customWidth="1"/>
    <col min="12810" max="12810" width="13.5703125" customWidth="1"/>
    <col min="12811" max="12811" width="11.7109375" customWidth="1"/>
    <col min="12812" max="12812" width="14" customWidth="1"/>
    <col min="12813" max="12813" width="16.28515625" customWidth="1"/>
    <col min="12814" max="12814" width="12.5703125" customWidth="1"/>
    <col min="12815" max="12815" width="13.28515625" customWidth="1"/>
    <col min="12816" max="12816" width="14.85546875" customWidth="1"/>
    <col min="12817" max="12817" width="18" customWidth="1"/>
    <col min="12818" max="12818" width="24" customWidth="1"/>
    <col min="13051" max="13051" width="7.42578125" customWidth="1"/>
    <col min="13052" max="13052" width="22.7109375" customWidth="1"/>
    <col min="13053" max="13053" width="14.140625" customWidth="1"/>
    <col min="13054" max="13054" width="13.140625" customWidth="1"/>
    <col min="13055" max="13055" width="8.140625" customWidth="1"/>
    <col min="13056" max="13056" width="10.85546875" customWidth="1"/>
    <col min="13057" max="13057" width="38.85546875" customWidth="1"/>
    <col min="13058" max="13058" width="25.5703125" customWidth="1"/>
    <col min="13062" max="13062" width="44.85546875" customWidth="1"/>
    <col min="13063" max="13064" width="14.140625" customWidth="1"/>
    <col min="13065" max="13065" width="13.85546875" customWidth="1"/>
    <col min="13066" max="13066" width="13.5703125" customWidth="1"/>
    <col min="13067" max="13067" width="11.7109375" customWidth="1"/>
    <col min="13068" max="13068" width="14" customWidth="1"/>
    <col min="13069" max="13069" width="16.28515625" customWidth="1"/>
    <col min="13070" max="13070" width="12.5703125" customWidth="1"/>
    <col min="13071" max="13071" width="13.28515625" customWidth="1"/>
    <col min="13072" max="13072" width="14.85546875" customWidth="1"/>
    <col min="13073" max="13073" width="18" customWidth="1"/>
    <col min="13074" max="13074" width="24" customWidth="1"/>
    <col min="13307" max="13307" width="7.42578125" customWidth="1"/>
    <col min="13308" max="13308" width="22.7109375" customWidth="1"/>
    <col min="13309" max="13309" width="14.140625" customWidth="1"/>
    <col min="13310" max="13310" width="13.140625" customWidth="1"/>
    <col min="13311" max="13311" width="8.140625" customWidth="1"/>
    <col min="13312" max="13312" width="10.85546875" customWidth="1"/>
    <col min="13313" max="13313" width="38.85546875" customWidth="1"/>
    <col min="13314" max="13314" width="25.5703125" customWidth="1"/>
    <col min="13318" max="13318" width="44.85546875" customWidth="1"/>
    <col min="13319" max="13320" width="14.140625" customWidth="1"/>
    <col min="13321" max="13321" width="13.85546875" customWidth="1"/>
    <col min="13322" max="13322" width="13.5703125" customWidth="1"/>
    <col min="13323" max="13323" width="11.7109375" customWidth="1"/>
    <col min="13324" max="13324" width="14" customWidth="1"/>
    <col min="13325" max="13325" width="16.28515625" customWidth="1"/>
    <col min="13326" max="13326" width="12.5703125" customWidth="1"/>
    <col min="13327" max="13327" width="13.28515625" customWidth="1"/>
    <col min="13328" max="13328" width="14.85546875" customWidth="1"/>
    <col min="13329" max="13329" width="18" customWidth="1"/>
    <col min="13330" max="13330" width="24" customWidth="1"/>
    <col min="13563" max="13563" width="7.42578125" customWidth="1"/>
    <col min="13564" max="13564" width="22.7109375" customWidth="1"/>
    <col min="13565" max="13565" width="14.140625" customWidth="1"/>
    <col min="13566" max="13566" width="13.140625" customWidth="1"/>
    <col min="13567" max="13567" width="8.140625" customWidth="1"/>
    <col min="13568" max="13568" width="10.85546875" customWidth="1"/>
    <col min="13569" max="13569" width="38.85546875" customWidth="1"/>
    <col min="13570" max="13570" width="25.5703125" customWidth="1"/>
    <col min="13574" max="13574" width="44.85546875" customWidth="1"/>
    <col min="13575" max="13576" width="14.140625" customWidth="1"/>
    <col min="13577" max="13577" width="13.85546875" customWidth="1"/>
    <col min="13578" max="13578" width="13.5703125" customWidth="1"/>
    <col min="13579" max="13579" width="11.7109375" customWidth="1"/>
    <col min="13580" max="13580" width="14" customWidth="1"/>
    <col min="13581" max="13581" width="16.28515625" customWidth="1"/>
    <col min="13582" max="13582" width="12.5703125" customWidth="1"/>
    <col min="13583" max="13583" width="13.28515625" customWidth="1"/>
    <col min="13584" max="13584" width="14.85546875" customWidth="1"/>
    <col min="13585" max="13585" width="18" customWidth="1"/>
    <col min="13586" max="13586" width="24" customWidth="1"/>
    <col min="13819" max="13819" width="7.42578125" customWidth="1"/>
    <col min="13820" max="13820" width="22.7109375" customWidth="1"/>
    <col min="13821" max="13821" width="14.140625" customWidth="1"/>
    <col min="13822" max="13822" width="13.140625" customWidth="1"/>
    <col min="13823" max="13823" width="8.140625" customWidth="1"/>
    <col min="13824" max="13824" width="10.85546875" customWidth="1"/>
    <col min="13825" max="13825" width="38.85546875" customWidth="1"/>
    <col min="13826" max="13826" width="25.5703125" customWidth="1"/>
    <col min="13830" max="13830" width="44.85546875" customWidth="1"/>
    <col min="13831" max="13832" width="14.140625" customWidth="1"/>
    <col min="13833" max="13833" width="13.85546875" customWidth="1"/>
    <col min="13834" max="13834" width="13.5703125" customWidth="1"/>
    <col min="13835" max="13835" width="11.7109375" customWidth="1"/>
    <col min="13836" max="13836" width="14" customWidth="1"/>
    <col min="13837" max="13837" width="16.28515625" customWidth="1"/>
    <col min="13838" max="13838" width="12.5703125" customWidth="1"/>
    <col min="13839" max="13839" width="13.28515625" customWidth="1"/>
    <col min="13840" max="13840" width="14.85546875" customWidth="1"/>
    <col min="13841" max="13841" width="18" customWidth="1"/>
    <col min="13842" max="13842" width="24" customWidth="1"/>
    <col min="14075" max="14075" width="7.42578125" customWidth="1"/>
    <col min="14076" max="14076" width="22.7109375" customWidth="1"/>
    <col min="14077" max="14077" width="14.140625" customWidth="1"/>
    <col min="14078" max="14078" width="13.140625" customWidth="1"/>
    <col min="14079" max="14079" width="8.140625" customWidth="1"/>
    <col min="14080" max="14080" width="10.85546875" customWidth="1"/>
    <col min="14081" max="14081" width="38.85546875" customWidth="1"/>
    <col min="14082" max="14082" width="25.5703125" customWidth="1"/>
    <col min="14086" max="14086" width="44.85546875" customWidth="1"/>
    <col min="14087" max="14088" width="14.140625" customWidth="1"/>
    <col min="14089" max="14089" width="13.85546875" customWidth="1"/>
    <col min="14090" max="14090" width="13.5703125" customWidth="1"/>
    <col min="14091" max="14091" width="11.7109375" customWidth="1"/>
    <col min="14092" max="14092" width="14" customWidth="1"/>
    <col min="14093" max="14093" width="16.28515625" customWidth="1"/>
    <col min="14094" max="14094" width="12.5703125" customWidth="1"/>
    <col min="14095" max="14095" width="13.28515625" customWidth="1"/>
    <col min="14096" max="14096" width="14.85546875" customWidth="1"/>
    <col min="14097" max="14097" width="18" customWidth="1"/>
    <col min="14098" max="14098" width="24" customWidth="1"/>
    <col min="14331" max="14331" width="7.42578125" customWidth="1"/>
    <col min="14332" max="14332" width="22.7109375" customWidth="1"/>
    <col min="14333" max="14333" width="14.140625" customWidth="1"/>
    <col min="14334" max="14334" width="13.140625" customWidth="1"/>
    <col min="14335" max="14335" width="8.140625" customWidth="1"/>
    <col min="14336" max="14336" width="10.85546875" customWidth="1"/>
    <col min="14337" max="14337" width="38.85546875" customWidth="1"/>
    <col min="14338" max="14338" width="25.5703125" customWidth="1"/>
    <col min="14342" max="14342" width="44.85546875" customWidth="1"/>
    <col min="14343" max="14344" width="14.140625" customWidth="1"/>
    <col min="14345" max="14345" width="13.85546875" customWidth="1"/>
    <col min="14346" max="14346" width="13.5703125" customWidth="1"/>
    <col min="14347" max="14347" width="11.7109375" customWidth="1"/>
    <col min="14348" max="14348" width="14" customWidth="1"/>
    <col min="14349" max="14349" width="16.28515625" customWidth="1"/>
    <col min="14350" max="14350" width="12.5703125" customWidth="1"/>
    <col min="14351" max="14351" width="13.28515625" customWidth="1"/>
    <col min="14352" max="14352" width="14.85546875" customWidth="1"/>
    <col min="14353" max="14353" width="18" customWidth="1"/>
    <col min="14354" max="14354" width="24" customWidth="1"/>
    <col min="14587" max="14587" width="7.42578125" customWidth="1"/>
    <col min="14588" max="14588" width="22.7109375" customWidth="1"/>
    <col min="14589" max="14589" width="14.140625" customWidth="1"/>
    <col min="14590" max="14590" width="13.140625" customWidth="1"/>
    <col min="14591" max="14591" width="8.140625" customWidth="1"/>
    <col min="14592" max="14592" width="10.85546875" customWidth="1"/>
    <col min="14593" max="14593" width="38.85546875" customWidth="1"/>
    <col min="14594" max="14594" width="25.5703125" customWidth="1"/>
    <col min="14598" max="14598" width="44.85546875" customWidth="1"/>
    <col min="14599" max="14600" width="14.140625" customWidth="1"/>
    <col min="14601" max="14601" width="13.85546875" customWidth="1"/>
    <col min="14602" max="14602" width="13.5703125" customWidth="1"/>
    <col min="14603" max="14603" width="11.7109375" customWidth="1"/>
    <col min="14604" max="14604" width="14" customWidth="1"/>
    <col min="14605" max="14605" width="16.28515625" customWidth="1"/>
    <col min="14606" max="14606" width="12.5703125" customWidth="1"/>
    <col min="14607" max="14607" width="13.28515625" customWidth="1"/>
    <col min="14608" max="14608" width="14.85546875" customWidth="1"/>
    <col min="14609" max="14609" width="18" customWidth="1"/>
    <col min="14610" max="14610" width="24" customWidth="1"/>
    <col min="14843" max="14843" width="7.42578125" customWidth="1"/>
    <col min="14844" max="14844" width="22.7109375" customWidth="1"/>
    <col min="14845" max="14845" width="14.140625" customWidth="1"/>
    <col min="14846" max="14846" width="13.140625" customWidth="1"/>
    <col min="14847" max="14847" width="8.140625" customWidth="1"/>
    <col min="14848" max="14848" width="10.85546875" customWidth="1"/>
    <col min="14849" max="14849" width="38.85546875" customWidth="1"/>
    <col min="14850" max="14850" width="25.5703125" customWidth="1"/>
    <col min="14854" max="14854" width="44.85546875" customWidth="1"/>
    <col min="14855" max="14856" width="14.140625" customWidth="1"/>
    <col min="14857" max="14857" width="13.85546875" customWidth="1"/>
    <col min="14858" max="14858" width="13.5703125" customWidth="1"/>
    <col min="14859" max="14859" width="11.7109375" customWidth="1"/>
    <col min="14860" max="14860" width="14" customWidth="1"/>
    <col min="14861" max="14861" width="16.28515625" customWidth="1"/>
    <col min="14862" max="14862" width="12.5703125" customWidth="1"/>
    <col min="14863" max="14863" width="13.28515625" customWidth="1"/>
    <col min="14864" max="14864" width="14.85546875" customWidth="1"/>
    <col min="14865" max="14865" width="18" customWidth="1"/>
    <col min="14866" max="14866" width="24" customWidth="1"/>
    <col min="15099" max="15099" width="7.42578125" customWidth="1"/>
    <col min="15100" max="15100" width="22.7109375" customWidth="1"/>
    <col min="15101" max="15101" width="14.140625" customWidth="1"/>
    <col min="15102" max="15102" width="13.140625" customWidth="1"/>
    <col min="15103" max="15103" width="8.140625" customWidth="1"/>
    <col min="15104" max="15104" width="10.85546875" customWidth="1"/>
    <col min="15105" max="15105" width="38.85546875" customWidth="1"/>
    <col min="15106" max="15106" width="25.5703125" customWidth="1"/>
    <col min="15110" max="15110" width="44.85546875" customWidth="1"/>
    <col min="15111" max="15112" width="14.140625" customWidth="1"/>
    <col min="15113" max="15113" width="13.85546875" customWidth="1"/>
    <col min="15114" max="15114" width="13.5703125" customWidth="1"/>
    <col min="15115" max="15115" width="11.7109375" customWidth="1"/>
    <col min="15116" max="15116" width="14" customWidth="1"/>
    <col min="15117" max="15117" width="16.28515625" customWidth="1"/>
    <col min="15118" max="15118" width="12.5703125" customWidth="1"/>
    <col min="15119" max="15119" width="13.28515625" customWidth="1"/>
    <col min="15120" max="15120" width="14.85546875" customWidth="1"/>
    <col min="15121" max="15121" width="18" customWidth="1"/>
    <col min="15122" max="15122" width="24" customWidth="1"/>
    <col min="15355" max="15355" width="7.42578125" customWidth="1"/>
    <col min="15356" max="15356" width="22.7109375" customWidth="1"/>
    <col min="15357" max="15357" width="14.140625" customWidth="1"/>
    <col min="15358" max="15358" width="13.140625" customWidth="1"/>
    <col min="15359" max="15359" width="8.140625" customWidth="1"/>
    <col min="15360" max="15360" width="10.85546875" customWidth="1"/>
    <col min="15361" max="15361" width="38.85546875" customWidth="1"/>
    <col min="15362" max="15362" width="25.5703125" customWidth="1"/>
    <col min="15366" max="15366" width="44.85546875" customWidth="1"/>
    <col min="15367" max="15368" width="14.140625" customWidth="1"/>
    <col min="15369" max="15369" width="13.85546875" customWidth="1"/>
    <col min="15370" max="15370" width="13.5703125" customWidth="1"/>
    <col min="15371" max="15371" width="11.7109375" customWidth="1"/>
    <col min="15372" max="15372" width="14" customWidth="1"/>
    <col min="15373" max="15373" width="16.28515625" customWidth="1"/>
    <col min="15374" max="15374" width="12.5703125" customWidth="1"/>
    <col min="15375" max="15375" width="13.28515625" customWidth="1"/>
    <col min="15376" max="15376" width="14.85546875" customWidth="1"/>
    <col min="15377" max="15377" width="18" customWidth="1"/>
    <col min="15378" max="15378" width="24" customWidth="1"/>
    <col min="15611" max="15611" width="7.42578125" customWidth="1"/>
    <col min="15612" max="15612" width="22.7109375" customWidth="1"/>
    <col min="15613" max="15613" width="14.140625" customWidth="1"/>
    <col min="15614" max="15614" width="13.140625" customWidth="1"/>
    <col min="15615" max="15615" width="8.140625" customWidth="1"/>
    <col min="15616" max="15616" width="10.85546875" customWidth="1"/>
    <col min="15617" max="15617" width="38.85546875" customWidth="1"/>
    <col min="15618" max="15618" width="25.5703125" customWidth="1"/>
    <col min="15622" max="15622" width="44.85546875" customWidth="1"/>
    <col min="15623" max="15624" width="14.140625" customWidth="1"/>
    <col min="15625" max="15625" width="13.85546875" customWidth="1"/>
    <col min="15626" max="15626" width="13.5703125" customWidth="1"/>
    <col min="15627" max="15627" width="11.7109375" customWidth="1"/>
    <col min="15628" max="15628" width="14" customWidth="1"/>
    <col min="15629" max="15629" width="16.28515625" customWidth="1"/>
    <col min="15630" max="15630" width="12.5703125" customWidth="1"/>
    <col min="15631" max="15631" width="13.28515625" customWidth="1"/>
    <col min="15632" max="15632" width="14.85546875" customWidth="1"/>
    <col min="15633" max="15633" width="18" customWidth="1"/>
    <col min="15634" max="15634" width="24" customWidth="1"/>
    <col min="15867" max="15867" width="7.42578125" customWidth="1"/>
    <col min="15868" max="15868" width="22.7109375" customWidth="1"/>
    <col min="15869" max="15869" width="14.140625" customWidth="1"/>
    <col min="15870" max="15870" width="13.140625" customWidth="1"/>
    <col min="15871" max="15871" width="8.140625" customWidth="1"/>
    <col min="15872" max="15872" width="10.85546875" customWidth="1"/>
    <col min="15873" max="15873" width="38.85546875" customWidth="1"/>
    <col min="15874" max="15874" width="25.5703125" customWidth="1"/>
    <col min="15878" max="15878" width="44.85546875" customWidth="1"/>
    <col min="15879" max="15880" width="14.140625" customWidth="1"/>
    <col min="15881" max="15881" width="13.85546875" customWidth="1"/>
    <col min="15882" max="15882" width="13.5703125" customWidth="1"/>
    <col min="15883" max="15883" width="11.7109375" customWidth="1"/>
    <col min="15884" max="15884" width="14" customWidth="1"/>
    <col min="15885" max="15885" width="16.28515625" customWidth="1"/>
    <col min="15886" max="15886" width="12.5703125" customWidth="1"/>
    <col min="15887" max="15887" width="13.28515625" customWidth="1"/>
    <col min="15888" max="15888" width="14.85546875" customWidth="1"/>
    <col min="15889" max="15889" width="18" customWidth="1"/>
    <col min="15890" max="15890" width="24" customWidth="1"/>
    <col min="16123" max="16123" width="7.42578125" customWidth="1"/>
    <col min="16124" max="16124" width="22.7109375" customWidth="1"/>
    <col min="16125" max="16125" width="14.140625" customWidth="1"/>
    <col min="16126" max="16126" width="13.140625" customWidth="1"/>
    <col min="16127" max="16127" width="8.140625" customWidth="1"/>
    <col min="16128" max="16128" width="10.85546875" customWidth="1"/>
    <col min="16129" max="16129" width="38.85546875" customWidth="1"/>
    <col min="16130" max="16130" width="25.5703125" customWidth="1"/>
    <col min="16134" max="16134" width="44.85546875" customWidth="1"/>
    <col min="16135" max="16136" width="14.140625" customWidth="1"/>
    <col min="16137" max="16137" width="13.85546875" customWidth="1"/>
    <col min="16138" max="16138" width="13.5703125" customWidth="1"/>
    <col min="16139" max="16139" width="11.7109375" customWidth="1"/>
    <col min="16140" max="16140" width="14" customWidth="1"/>
    <col min="16141" max="16141" width="16.28515625" customWidth="1"/>
    <col min="16142" max="16142" width="12.5703125" customWidth="1"/>
    <col min="16143" max="16143" width="13.28515625" customWidth="1"/>
    <col min="16144" max="16144" width="14.85546875" customWidth="1"/>
    <col min="16145" max="16145" width="18" customWidth="1"/>
    <col min="16146" max="16146" width="24" customWidth="1"/>
  </cols>
  <sheetData>
    <row r="1" spans="2:36" ht="24.75" customHeight="1" x14ac:dyDescent="0.25"/>
    <row r="2" spans="2:36" s="7" customFormat="1" ht="24.75" customHeight="1" thickBot="1" x14ac:dyDescent="0.3">
      <c r="B2" s="287" t="s">
        <v>621</v>
      </c>
      <c r="C2" s="287"/>
      <c r="D2" s="287"/>
      <c r="E2" s="287"/>
      <c r="F2" s="287"/>
      <c r="G2" s="287"/>
      <c r="H2" s="287"/>
      <c r="I2" s="287"/>
      <c r="J2" s="287"/>
      <c r="K2" s="287"/>
      <c r="L2" s="296"/>
      <c r="M2" s="296"/>
      <c r="N2" s="296"/>
      <c r="O2" s="296"/>
      <c r="P2" s="296"/>
      <c r="Q2" s="296"/>
      <c r="R2" s="296"/>
      <c r="S2" s="8"/>
      <c r="T2" s="8"/>
      <c r="U2" s="8"/>
      <c r="V2" s="8"/>
      <c r="W2" s="8"/>
      <c r="X2" s="8"/>
      <c r="Y2" s="8"/>
      <c r="Z2" s="8"/>
      <c r="AA2" s="8"/>
      <c r="AB2" s="8"/>
      <c r="AC2" s="8"/>
      <c r="AD2" s="8"/>
      <c r="AE2" s="8"/>
      <c r="AF2" s="8"/>
      <c r="AG2" s="8"/>
      <c r="AH2" s="8"/>
      <c r="AI2" s="8"/>
      <c r="AJ2" s="8"/>
    </row>
    <row r="3" spans="2:36" s="7" customFormat="1" ht="32.25" customHeight="1" thickBot="1" x14ac:dyDescent="0.3">
      <c r="B3" s="89"/>
      <c r="C3" s="89"/>
      <c r="D3" s="89"/>
      <c r="E3" s="236"/>
      <c r="F3" s="236"/>
      <c r="G3" s="236"/>
      <c r="H3" s="89"/>
      <c r="I3" s="89"/>
      <c r="J3" s="89"/>
      <c r="K3" s="150"/>
      <c r="L3" s="302" t="s">
        <v>310</v>
      </c>
      <c r="M3" s="303"/>
      <c r="N3" s="304"/>
      <c r="O3" s="139" t="s">
        <v>317</v>
      </c>
      <c r="P3" s="291" t="s">
        <v>318</v>
      </c>
      <c r="Q3" s="291"/>
      <c r="R3" s="292"/>
      <c r="S3" s="8"/>
      <c r="T3" s="8"/>
      <c r="U3" s="8"/>
      <c r="V3" s="8"/>
      <c r="W3" s="8"/>
      <c r="X3" s="8"/>
      <c r="Y3" s="8"/>
      <c r="Z3" s="8"/>
      <c r="AA3" s="8"/>
      <c r="AB3" s="8"/>
      <c r="AC3" s="8"/>
      <c r="AD3" s="8"/>
      <c r="AE3" s="8"/>
      <c r="AF3" s="8"/>
      <c r="AG3" s="8"/>
      <c r="AH3" s="8"/>
      <c r="AI3" s="8"/>
      <c r="AJ3" s="8"/>
    </row>
    <row r="4" spans="2:36" ht="38.25" customHeight="1" thickBot="1" x14ac:dyDescent="0.3">
      <c r="B4" s="242" t="s">
        <v>0</v>
      </c>
      <c r="C4" s="201" t="s">
        <v>466</v>
      </c>
      <c r="D4" s="244" t="s">
        <v>1</v>
      </c>
      <c r="E4" s="202" t="s">
        <v>463</v>
      </c>
      <c r="F4" s="210" t="s">
        <v>465</v>
      </c>
      <c r="G4" s="202" t="s">
        <v>464</v>
      </c>
      <c r="H4" s="96" t="s">
        <v>2</v>
      </c>
      <c r="I4" s="305" t="s">
        <v>3</v>
      </c>
      <c r="J4" s="294"/>
      <c r="K4" s="306"/>
      <c r="L4" s="140" t="s">
        <v>311</v>
      </c>
      <c r="M4" s="141" t="s">
        <v>312</v>
      </c>
      <c r="N4" s="141" t="s">
        <v>313</v>
      </c>
      <c r="O4" s="142" t="s">
        <v>311</v>
      </c>
      <c r="P4" s="143" t="s">
        <v>4</v>
      </c>
      <c r="Q4" s="144" t="s">
        <v>5</v>
      </c>
      <c r="R4" s="145" t="s">
        <v>6</v>
      </c>
    </row>
    <row r="5" spans="2:36" s="17" customFormat="1" ht="12.75" customHeight="1" x14ac:dyDescent="0.2">
      <c r="B5" s="97">
        <v>1</v>
      </c>
      <c r="C5" s="251" t="s">
        <v>254</v>
      </c>
      <c r="D5" s="252" t="s">
        <v>17</v>
      </c>
      <c r="E5" s="252" t="s">
        <v>478</v>
      </c>
      <c r="F5" s="253" t="s">
        <v>637</v>
      </c>
      <c r="G5" s="252" t="str">
        <f>UPPER(F5)</f>
        <v>REUNIÃO DO CONSELHO DIRETOR</v>
      </c>
      <c r="H5" s="252" t="s">
        <v>201</v>
      </c>
      <c r="I5" s="254">
        <v>43313</v>
      </c>
      <c r="J5" s="255">
        <v>20</v>
      </c>
      <c r="K5" s="256">
        <v>20</v>
      </c>
      <c r="L5" s="257">
        <v>0</v>
      </c>
      <c r="M5" s="257">
        <v>0</v>
      </c>
      <c r="N5" s="257">
        <v>0</v>
      </c>
      <c r="O5" s="258">
        <v>0</v>
      </c>
      <c r="P5" s="259">
        <f>935</f>
        <v>935</v>
      </c>
      <c r="Q5" s="260">
        <v>0</v>
      </c>
      <c r="R5" s="261">
        <f t="shared" ref="R5:R32" si="0">L5+M5+N5+O5+P5+Q5</f>
        <v>935</v>
      </c>
      <c r="S5" s="16"/>
      <c r="T5" s="16"/>
      <c r="U5" s="16"/>
      <c r="V5" s="16"/>
    </row>
    <row r="6" spans="2:36" s="17" customFormat="1" ht="12.75" customHeight="1" x14ac:dyDescent="0.2">
      <c r="B6" s="99">
        <v>2</v>
      </c>
      <c r="C6" s="56" t="s">
        <v>255</v>
      </c>
      <c r="D6" s="9" t="s">
        <v>256</v>
      </c>
      <c r="E6" s="9" t="s">
        <v>478</v>
      </c>
      <c r="F6" s="250" t="s">
        <v>637</v>
      </c>
      <c r="G6" s="9" t="str">
        <f>UPPER(F6)</f>
        <v>REUNIÃO DO CONSELHO DIRETOR</v>
      </c>
      <c r="H6" s="9" t="s">
        <v>24</v>
      </c>
      <c r="I6" s="18">
        <v>43313</v>
      </c>
      <c r="J6" s="10">
        <v>19</v>
      </c>
      <c r="K6" s="11">
        <v>20</v>
      </c>
      <c r="L6" s="58">
        <v>0</v>
      </c>
      <c r="M6" s="58">
        <v>0</v>
      </c>
      <c r="N6" s="58">
        <v>0</v>
      </c>
      <c r="O6" s="12">
        <v>0</v>
      </c>
      <c r="P6" s="14">
        <f>882.93+1055.68+1141</f>
        <v>3079.61</v>
      </c>
      <c r="Q6" s="15">
        <v>0</v>
      </c>
      <c r="R6" s="98">
        <f t="shared" si="0"/>
        <v>3079.61</v>
      </c>
      <c r="S6" s="16"/>
      <c r="T6" s="16"/>
      <c r="U6" s="16"/>
      <c r="V6" s="16"/>
    </row>
    <row r="7" spans="2:36" s="17" customFormat="1" ht="34.5" customHeight="1" x14ac:dyDescent="0.2">
      <c r="B7" s="99">
        <v>3</v>
      </c>
      <c r="C7" s="56" t="s">
        <v>235</v>
      </c>
      <c r="D7" s="10" t="s">
        <v>62</v>
      </c>
      <c r="E7" s="216" t="s">
        <v>503</v>
      </c>
      <c r="F7" s="193" t="s">
        <v>622</v>
      </c>
      <c r="G7" s="9" t="str">
        <f t="shared" ref="G7:G32" si="1">UPPER(F7)</f>
        <v>O FUNCIONÁRIO PARTICIPARÁ COMO PAINELISTA, REPRESENTANDO O HCPA, NO 10º EDIÇÃO DO IT FORUM.</v>
      </c>
      <c r="H7" s="9" t="s">
        <v>198</v>
      </c>
      <c r="I7" s="18">
        <v>43313</v>
      </c>
      <c r="J7" s="10">
        <v>16</v>
      </c>
      <c r="K7" s="11">
        <v>19</v>
      </c>
      <c r="L7" s="58">
        <v>0</v>
      </c>
      <c r="M7" s="58">
        <v>0</v>
      </c>
      <c r="N7" s="58">
        <v>0</v>
      </c>
      <c r="O7" s="54">
        <f>74.05+74.05</f>
        <v>148.1</v>
      </c>
      <c r="P7" s="14">
        <v>878.46</v>
      </c>
      <c r="Q7" s="15">
        <v>0</v>
      </c>
      <c r="R7" s="98">
        <f t="shared" si="0"/>
        <v>1026.56</v>
      </c>
      <c r="S7" s="16"/>
      <c r="T7" s="16"/>
      <c r="U7" s="16"/>
      <c r="V7" s="16"/>
    </row>
    <row r="8" spans="2:36" s="17" customFormat="1" ht="34.5" customHeight="1" x14ac:dyDescent="0.2">
      <c r="B8" s="99">
        <v>4</v>
      </c>
      <c r="C8" s="56" t="s">
        <v>257</v>
      </c>
      <c r="D8" s="10" t="s">
        <v>258</v>
      </c>
      <c r="E8" s="9" t="s">
        <v>591</v>
      </c>
      <c r="F8" s="195" t="s">
        <v>623</v>
      </c>
      <c r="G8" s="9" t="str">
        <f t="shared" si="1"/>
        <v>PARTICIPAR  DO GRAND ROUND COM O ASSUNTO: ETAPAS DE DEAENVOLVIMENTO DE UM LABORATÓRIO DE PESQUISA</v>
      </c>
      <c r="H8" s="9" t="s">
        <v>259</v>
      </c>
      <c r="I8" s="18">
        <v>43313</v>
      </c>
      <c r="J8" s="10">
        <v>22</v>
      </c>
      <c r="K8" s="11">
        <v>24</v>
      </c>
      <c r="L8" s="58">
        <v>0</v>
      </c>
      <c r="M8" s="58">
        <v>0</v>
      </c>
      <c r="N8" s="58">
        <v>0</v>
      </c>
      <c r="O8" s="54">
        <v>0</v>
      </c>
      <c r="P8" s="14">
        <v>0</v>
      </c>
      <c r="Q8" s="15">
        <v>333.45</v>
      </c>
      <c r="R8" s="98">
        <f t="shared" si="0"/>
        <v>333.45</v>
      </c>
      <c r="S8" s="16"/>
      <c r="T8" s="16"/>
      <c r="U8" s="16"/>
      <c r="V8" s="16"/>
    </row>
    <row r="9" spans="2:36" s="17" customFormat="1" ht="15.75" customHeight="1" x14ac:dyDescent="0.2">
      <c r="B9" s="99">
        <v>5</v>
      </c>
      <c r="C9" s="56" t="s">
        <v>260</v>
      </c>
      <c r="D9" s="10" t="s">
        <v>261</v>
      </c>
      <c r="E9" s="216" t="s">
        <v>638</v>
      </c>
      <c r="F9" s="193" t="s">
        <v>624</v>
      </c>
      <c r="G9" s="9" t="str">
        <f t="shared" si="1"/>
        <v>AUDIÊNCIA RECLAMATÓRIA TRABALHISTA</v>
      </c>
      <c r="H9" s="9" t="s">
        <v>262</v>
      </c>
      <c r="I9" s="18">
        <v>43313</v>
      </c>
      <c r="J9" s="10">
        <v>7</v>
      </c>
      <c r="K9" s="11">
        <v>8</v>
      </c>
      <c r="L9" s="58">
        <v>0</v>
      </c>
      <c r="M9" s="58">
        <v>98.4</v>
      </c>
      <c r="N9" s="58">
        <v>0</v>
      </c>
      <c r="O9" s="54">
        <f>320+51</f>
        <v>371</v>
      </c>
      <c r="P9" s="14">
        <f>644.68+676.05</f>
        <v>1320.73</v>
      </c>
      <c r="Q9" s="15">
        <f>172.38+85.9</f>
        <v>258.27999999999997</v>
      </c>
      <c r="R9" s="98">
        <f t="shared" si="0"/>
        <v>2048.41</v>
      </c>
      <c r="S9" s="16"/>
      <c r="T9" s="16"/>
      <c r="U9" s="16"/>
      <c r="V9" s="16"/>
    </row>
    <row r="10" spans="2:36" s="17" customFormat="1" ht="24.75" customHeight="1" x14ac:dyDescent="0.2">
      <c r="B10" s="99">
        <v>6</v>
      </c>
      <c r="C10" s="56" t="s">
        <v>320</v>
      </c>
      <c r="D10" s="10" t="s">
        <v>167</v>
      </c>
      <c r="E10" s="216" t="s">
        <v>568</v>
      </c>
      <c r="F10" s="188" t="s">
        <v>625</v>
      </c>
      <c r="G10" s="9" t="str">
        <f t="shared" si="1"/>
        <v>PARTICIPAÇÃO NO XXVI CONGRESSO BRASILEIRO DE ENGENHARIA BIOMÉDICA</v>
      </c>
      <c r="H10" s="9" t="s">
        <v>161</v>
      </c>
      <c r="I10" s="18">
        <v>43374</v>
      </c>
      <c r="J10" s="10">
        <v>20</v>
      </c>
      <c r="K10" s="11">
        <v>26</v>
      </c>
      <c r="L10" s="58">
        <v>0</v>
      </c>
      <c r="M10" s="58">
        <v>0</v>
      </c>
      <c r="N10" s="58">
        <v>0</v>
      </c>
      <c r="O10" s="54">
        <v>0</v>
      </c>
      <c r="P10" s="14">
        <v>574.92999999999995</v>
      </c>
      <c r="Q10" s="15">
        <f>(3585.3+1097.3)/2</f>
        <v>2341.3000000000002</v>
      </c>
      <c r="R10" s="98">
        <f t="shared" si="0"/>
        <v>2916.23</v>
      </c>
      <c r="S10" s="16"/>
      <c r="T10" s="16"/>
      <c r="U10" s="16"/>
      <c r="V10" s="16"/>
    </row>
    <row r="11" spans="2:36" s="17" customFormat="1" ht="25.5" customHeight="1" x14ac:dyDescent="0.2">
      <c r="B11" s="99">
        <v>7</v>
      </c>
      <c r="C11" s="56" t="s">
        <v>321</v>
      </c>
      <c r="D11" s="10" t="s">
        <v>324</v>
      </c>
      <c r="E11" s="216" t="s">
        <v>569</v>
      </c>
      <c r="F11" s="193" t="s">
        <v>625</v>
      </c>
      <c r="G11" s="9" t="str">
        <f t="shared" si="1"/>
        <v>PARTICIPAÇÃO NO XXVI CONGRESSO BRASILEIRO DE ENGENHARIA BIOMÉDICA</v>
      </c>
      <c r="H11" s="9" t="s">
        <v>161</v>
      </c>
      <c r="I11" s="18">
        <v>43375</v>
      </c>
      <c r="J11" s="10">
        <v>20</v>
      </c>
      <c r="K11" s="11">
        <v>26</v>
      </c>
      <c r="L11" s="58">
        <v>0</v>
      </c>
      <c r="M11" s="58">
        <v>0</v>
      </c>
      <c r="N11" s="58">
        <v>0</v>
      </c>
      <c r="O11" s="54">
        <v>0</v>
      </c>
      <c r="P11" s="14">
        <v>574.92999999999995</v>
      </c>
      <c r="Q11" s="15">
        <f>(3585.3+1097.3)/2</f>
        <v>2341.3000000000002</v>
      </c>
      <c r="R11" s="98">
        <f t="shared" si="0"/>
        <v>2916.23</v>
      </c>
      <c r="S11" s="16"/>
      <c r="T11" s="16"/>
      <c r="U11" s="16"/>
      <c r="V11" s="16"/>
    </row>
    <row r="12" spans="2:36" s="17" customFormat="1" ht="22.5" customHeight="1" x14ac:dyDescent="0.2">
      <c r="B12" s="99">
        <v>8</v>
      </c>
      <c r="C12" s="56" t="s">
        <v>322</v>
      </c>
      <c r="D12" s="10" t="s">
        <v>170</v>
      </c>
      <c r="E12" s="216" t="s">
        <v>639</v>
      </c>
      <c r="F12" s="188" t="s">
        <v>625</v>
      </c>
      <c r="G12" s="9" t="str">
        <f t="shared" si="1"/>
        <v>PARTICIPAÇÃO NO XXVI CONGRESSO BRASILEIRO DE ENGENHARIA BIOMÉDICA</v>
      </c>
      <c r="H12" s="9" t="s">
        <v>161</v>
      </c>
      <c r="I12" s="18">
        <v>43376</v>
      </c>
      <c r="J12" s="10">
        <v>20</v>
      </c>
      <c r="K12" s="11">
        <v>26</v>
      </c>
      <c r="L12" s="58">
        <v>0</v>
      </c>
      <c r="M12" s="58">
        <v>0</v>
      </c>
      <c r="N12" s="58">
        <v>0</v>
      </c>
      <c r="O12" s="54">
        <v>0</v>
      </c>
      <c r="P12" s="14">
        <v>574.92999999999995</v>
      </c>
      <c r="Q12" s="15">
        <f>(4029.3+791.35)/2</f>
        <v>2410.3250000000003</v>
      </c>
      <c r="R12" s="98">
        <f t="shared" si="0"/>
        <v>2985.2550000000001</v>
      </c>
      <c r="S12" s="16"/>
      <c r="T12" s="16"/>
      <c r="U12" s="16"/>
      <c r="V12" s="16"/>
    </row>
    <row r="13" spans="2:36" s="17" customFormat="1" ht="24" customHeight="1" x14ac:dyDescent="0.2">
      <c r="B13" s="99">
        <v>9</v>
      </c>
      <c r="C13" s="56" t="s">
        <v>323</v>
      </c>
      <c r="D13" s="10" t="s">
        <v>325</v>
      </c>
      <c r="E13" s="9" t="s">
        <v>640</v>
      </c>
      <c r="F13" s="193" t="s">
        <v>625</v>
      </c>
      <c r="G13" s="9" t="str">
        <f t="shared" si="1"/>
        <v>PARTICIPAÇÃO NO XXVI CONGRESSO BRASILEIRO DE ENGENHARIA BIOMÉDICA</v>
      </c>
      <c r="H13" s="9" t="s">
        <v>161</v>
      </c>
      <c r="I13" s="18">
        <v>43377</v>
      </c>
      <c r="J13" s="10">
        <v>20</v>
      </c>
      <c r="K13" s="11">
        <v>26</v>
      </c>
      <c r="L13" s="58">
        <v>0</v>
      </c>
      <c r="M13" s="58">
        <v>0</v>
      </c>
      <c r="N13" s="58">
        <v>0</v>
      </c>
      <c r="O13" s="54">
        <v>0</v>
      </c>
      <c r="P13" s="14">
        <v>574.92999999999995</v>
      </c>
      <c r="Q13" s="15">
        <f>(4029.3+791.35)/2</f>
        <v>2410.3250000000003</v>
      </c>
      <c r="R13" s="98">
        <f t="shared" si="0"/>
        <v>2985.2550000000001</v>
      </c>
      <c r="S13" s="16"/>
      <c r="T13" s="16"/>
      <c r="U13" s="16"/>
      <c r="V13" s="16"/>
    </row>
    <row r="14" spans="2:36" s="17" customFormat="1" ht="11.25" customHeight="1" x14ac:dyDescent="0.2">
      <c r="B14" s="99">
        <v>10</v>
      </c>
      <c r="C14" s="56" t="s">
        <v>263</v>
      </c>
      <c r="D14" s="10" t="s">
        <v>103</v>
      </c>
      <c r="E14" s="216" t="s">
        <v>641</v>
      </c>
      <c r="F14" s="193" t="s">
        <v>624</v>
      </c>
      <c r="G14" s="9" t="str">
        <f t="shared" si="1"/>
        <v>AUDIÊNCIA RECLAMATÓRIA TRABALHISTA</v>
      </c>
      <c r="H14" s="9" t="s">
        <v>262</v>
      </c>
      <c r="I14" s="18">
        <v>43313</v>
      </c>
      <c r="J14" s="10">
        <v>7</v>
      </c>
      <c r="K14" s="11">
        <v>8</v>
      </c>
      <c r="L14" s="58">
        <v>35</v>
      </c>
      <c r="M14" s="58">
        <v>163.5</v>
      </c>
      <c r="N14" s="58">
        <v>0</v>
      </c>
      <c r="O14" s="54">
        <f>23+320</f>
        <v>343</v>
      </c>
      <c r="P14" s="14">
        <f>644.68+676.05</f>
        <v>1320.73</v>
      </c>
      <c r="Q14" s="15">
        <f>172.38+101.5</f>
        <v>273.88</v>
      </c>
      <c r="R14" s="98">
        <f t="shared" si="0"/>
        <v>2136.11</v>
      </c>
      <c r="S14" s="16"/>
      <c r="T14" s="16"/>
      <c r="U14" s="16"/>
      <c r="V14" s="16"/>
    </row>
    <row r="15" spans="2:36" s="17" customFormat="1" ht="13.5" customHeight="1" x14ac:dyDescent="0.2">
      <c r="B15" s="99">
        <v>11</v>
      </c>
      <c r="C15" s="56" t="s">
        <v>264</v>
      </c>
      <c r="D15" s="10" t="s">
        <v>265</v>
      </c>
      <c r="E15" s="216" t="s">
        <v>570</v>
      </c>
      <c r="F15" s="193" t="s">
        <v>615</v>
      </c>
      <c r="G15" s="9" t="str">
        <f t="shared" si="1"/>
        <v>VISITA AO HOSPITAL SIRIO LIBANÊS</v>
      </c>
      <c r="H15" s="9" t="s">
        <v>53</v>
      </c>
      <c r="I15" s="18">
        <v>43313</v>
      </c>
      <c r="J15" s="10">
        <v>9</v>
      </c>
      <c r="K15" s="11">
        <v>9</v>
      </c>
      <c r="L15" s="58">
        <v>0</v>
      </c>
      <c r="M15" s="58">
        <v>0</v>
      </c>
      <c r="N15" s="58">
        <v>0</v>
      </c>
      <c r="O15" s="54">
        <v>0</v>
      </c>
      <c r="P15" s="14">
        <v>1599.85</v>
      </c>
      <c r="Q15" s="15">
        <v>0</v>
      </c>
      <c r="R15" s="98">
        <f t="shared" si="0"/>
        <v>1599.85</v>
      </c>
      <c r="S15" s="16"/>
      <c r="T15" s="16"/>
      <c r="U15" s="16"/>
      <c r="V15" s="16"/>
    </row>
    <row r="16" spans="2:36" s="17" customFormat="1" ht="48" customHeight="1" x14ac:dyDescent="0.2">
      <c r="B16" s="99">
        <v>12</v>
      </c>
      <c r="C16" s="57" t="s">
        <v>266</v>
      </c>
      <c r="D16" s="10" t="s">
        <v>267</v>
      </c>
      <c r="E16" s="216" t="s">
        <v>642</v>
      </c>
      <c r="F16" s="193" t="s">
        <v>626</v>
      </c>
      <c r="G16" s="9" t="str">
        <f t="shared" si="1"/>
        <v>PARTICIPAR DO I FÓRUM DE BIOBANCOS DE INVESTIGAÇÃO CIENTÍFICA: DESAFIOS E OPORTUNIDADES PARA ALAVANCAR A INOVAÇÃO TECNOLÓGICA EM SAÚDE NO BRASIL</v>
      </c>
      <c r="H16" s="10" t="s">
        <v>9</v>
      </c>
      <c r="I16" s="18">
        <v>43313</v>
      </c>
      <c r="J16" s="10">
        <v>8</v>
      </c>
      <c r="K16" s="11">
        <v>9</v>
      </c>
      <c r="L16" s="58">
        <f>119+64</f>
        <v>183</v>
      </c>
      <c r="M16" s="58">
        <v>93.9</v>
      </c>
      <c r="N16" s="58">
        <v>0</v>
      </c>
      <c r="O16" s="12">
        <v>0</v>
      </c>
      <c r="P16" s="14">
        <f>1528.78+1177.03</f>
        <v>2705.81</v>
      </c>
      <c r="Q16" s="15">
        <f>373.75+65.89</f>
        <v>439.64</v>
      </c>
      <c r="R16" s="98">
        <f t="shared" si="0"/>
        <v>3422.35</v>
      </c>
      <c r="S16" s="16"/>
      <c r="T16" s="16"/>
      <c r="U16" s="16"/>
      <c r="V16" s="16"/>
    </row>
    <row r="17" spans="2:22" s="17" customFormat="1" ht="34.5" customHeight="1" x14ac:dyDescent="0.2">
      <c r="B17" s="99">
        <v>13</v>
      </c>
      <c r="C17" s="56" t="s">
        <v>268</v>
      </c>
      <c r="D17" s="10" t="s">
        <v>52</v>
      </c>
      <c r="E17" s="216" t="s">
        <v>498</v>
      </c>
      <c r="F17" s="193" t="s">
        <v>627</v>
      </c>
      <c r="G17" s="9" t="str">
        <f t="shared" si="1"/>
        <v> PARTICIPAR CONGRESSO GOVERNANÇA, CONTROLE PÚBLICO E GESTÃO DE RISCOS NAS AQUISIÇÕES.</v>
      </c>
      <c r="H17" s="9" t="s">
        <v>269</v>
      </c>
      <c r="I17" s="18">
        <v>43313</v>
      </c>
      <c r="J17" s="10">
        <v>20</v>
      </c>
      <c r="K17" s="11">
        <v>23</v>
      </c>
      <c r="L17" s="58">
        <v>108.56</v>
      </c>
      <c r="M17" s="58">
        <v>59.9</v>
      </c>
      <c r="N17" s="58">
        <v>0</v>
      </c>
      <c r="O17" s="12">
        <v>0</v>
      </c>
      <c r="P17" s="14">
        <v>1090.1500000000001</v>
      </c>
      <c r="Q17" s="15">
        <v>522</v>
      </c>
      <c r="R17" s="98">
        <f t="shared" si="0"/>
        <v>1780.6100000000001</v>
      </c>
      <c r="S17" s="16"/>
      <c r="T17" s="16"/>
      <c r="U17" s="16"/>
      <c r="V17" s="16"/>
    </row>
    <row r="18" spans="2:22" s="17" customFormat="1" ht="35.25" customHeight="1" x14ac:dyDescent="0.2">
      <c r="B18" s="99">
        <v>14</v>
      </c>
      <c r="C18" s="57" t="s">
        <v>270</v>
      </c>
      <c r="D18" s="10" t="s">
        <v>271</v>
      </c>
      <c r="E18" s="216" t="s">
        <v>643</v>
      </c>
      <c r="F18" s="193" t="s">
        <v>628</v>
      </c>
      <c r="G18" s="9" t="str">
        <f t="shared" si="1"/>
        <v>EFETUAR TREINAMENTO AERONÁUTICA/PROJETO AGHUSE IMERSÃO PARA TREINAMENTO PARA IMPLANTAÇÃO DO AGHUSE</v>
      </c>
      <c r="H18" s="9" t="s">
        <v>161</v>
      </c>
      <c r="I18" s="18">
        <v>43313</v>
      </c>
      <c r="J18" s="10">
        <v>19</v>
      </c>
      <c r="K18" s="11">
        <v>21</v>
      </c>
      <c r="L18" s="58">
        <v>87</v>
      </c>
      <c r="M18" s="58">
        <v>0</v>
      </c>
      <c r="N18" s="58">
        <v>0</v>
      </c>
      <c r="O18" s="12">
        <v>0</v>
      </c>
      <c r="P18" s="14">
        <f>1094.78+765.25</f>
        <v>1860.03</v>
      </c>
      <c r="Q18" s="15">
        <v>0</v>
      </c>
      <c r="R18" s="98">
        <f t="shared" si="0"/>
        <v>1947.03</v>
      </c>
      <c r="S18" s="16"/>
      <c r="T18" s="16"/>
      <c r="U18" s="16"/>
      <c r="V18" s="16"/>
    </row>
    <row r="19" spans="2:22" s="17" customFormat="1" ht="66.75" customHeight="1" x14ac:dyDescent="0.2">
      <c r="B19" s="99">
        <v>15</v>
      </c>
      <c r="C19" s="56" t="s">
        <v>272</v>
      </c>
      <c r="D19" s="10" t="s">
        <v>243</v>
      </c>
      <c r="E19" s="197" t="s">
        <v>617</v>
      </c>
      <c r="F19" s="193" t="s">
        <v>629</v>
      </c>
      <c r="G19" s="9" t="str">
        <f t="shared" si="1"/>
        <v>TREINAMENTO AERONÁUTICA - PROJETO AGHUSE - IMERSÃO PARA TREINAMENTO PARA IMPLANTAÇÃO DO AGHUSE - MÓDULOS FARMÁCIA, INTERNAÇÃO, EMERGÊNCIA, PRESCRIÇÃO MEDICA E DE ENFERMAGEM, ANAMNESE E EVOLUÇÃO, CONTROLES DO PACIENTE. </v>
      </c>
      <c r="H19" s="9" t="s">
        <v>161</v>
      </c>
      <c r="I19" s="18">
        <v>43314</v>
      </c>
      <c r="J19" s="10">
        <v>21</v>
      </c>
      <c r="K19" s="11">
        <v>24</v>
      </c>
      <c r="L19" s="58">
        <v>252</v>
      </c>
      <c r="M19" s="58">
        <v>165.4</v>
      </c>
      <c r="N19" s="58">
        <v>0</v>
      </c>
      <c r="O19" s="12">
        <v>36</v>
      </c>
      <c r="P19" s="14">
        <v>1543.85</v>
      </c>
      <c r="Q19" s="15">
        <f>822.27+24.2</f>
        <v>846.47</v>
      </c>
      <c r="R19" s="98">
        <f t="shared" si="0"/>
        <v>2843.7200000000003</v>
      </c>
      <c r="S19" s="16"/>
      <c r="T19" s="16"/>
      <c r="U19" s="16"/>
      <c r="V19" s="16"/>
    </row>
    <row r="20" spans="2:22" s="17" customFormat="1" ht="66.75" customHeight="1" x14ac:dyDescent="0.2">
      <c r="B20" s="99">
        <v>16</v>
      </c>
      <c r="C20" s="56" t="s">
        <v>273</v>
      </c>
      <c r="D20" s="10" t="s">
        <v>274</v>
      </c>
      <c r="E20" s="216" t="s">
        <v>644</v>
      </c>
      <c r="F20" s="193" t="s">
        <v>629</v>
      </c>
      <c r="G20" s="9" t="str">
        <f t="shared" si="1"/>
        <v>TREINAMENTO AERONÁUTICA - PROJETO AGHUSE - IMERSÃO PARA TREINAMENTO PARA IMPLANTAÇÃO DO AGHUSE - MÓDULOS FARMÁCIA, INTERNAÇÃO, EMERGÊNCIA, PRESCRIÇÃO MEDICA E DE ENFERMAGEM, ANAMNESE E EVOLUÇÃO, CONTROLES DO PACIENTE. </v>
      </c>
      <c r="H20" s="9" t="s">
        <v>161</v>
      </c>
      <c r="I20" s="18">
        <v>43314</v>
      </c>
      <c r="J20" s="10">
        <v>21</v>
      </c>
      <c r="K20" s="11">
        <v>23</v>
      </c>
      <c r="L20" s="58">
        <v>111</v>
      </c>
      <c r="M20" s="58">
        <v>165</v>
      </c>
      <c r="N20" s="58">
        <v>0</v>
      </c>
      <c r="O20" s="12">
        <f>29.1+41</f>
        <v>70.099999999999994</v>
      </c>
      <c r="P20" s="14">
        <f>392.68+1151.17</f>
        <v>1543.8500000000001</v>
      </c>
      <c r="Q20" s="15">
        <f>548.18+12.1</f>
        <v>560.28</v>
      </c>
      <c r="R20" s="98">
        <f t="shared" si="0"/>
        <v>2450.2300000000005</v>
      </c>
      <c r="S20" s="16"/>
      <c r="T20" s="16"/>
      <c r="U20" s="16"/>
      <c r="V20" s="16"/>
    </row>
    <row r="21" spans="2:22" s="17" customFormat="1" ht="69" customHeight="1" x14ac:dyDescent="0.2">
      <c r="B21" s="99">
        <v>17</v>
      </c>
      <c r="C21" s="56" t="s">
        <v>275</v>
      </c>
      <c r="D21" s="10" t="s">
        <v>276</v>
      </c>
      <c r="E21" s="216" t="s">
        <v>645</v>
      </c>
      <c r="F21" s="193" t="s">
        <v>629</v>
      </c>
      <c r="G21" s="9" t="str">
        <f t="shared" si="1"/>
        <v>TREINAMENTO AERONÁUTICA - PROJETO AGHUSE - IMERSÃO PARA TREINAMENTO PARA IMPLANTAÇÃO DO AGHUSE - MÓDULOS FARMÁCIA, INTERNAÇÃO, EMERGÊNCIA, PRESCRIÇÃO MEDICA E DE ENFERMAGEM, ANAMNESE E EVOLUÇÃO, CONTROLES DO PACIENTE. </v>
      </c>
      <c r="H21" s="9" t="s">
        <v>161</v>
      </c>
      <c r="I21" s="18">
        <v>43313</v>
      </c>
      <c r="J21" s="10">
        <v>26</v>
      </c>
      <c r="K21" s="11">
        <v>28</v>
      </c>
      <c r="L21" s="58">
        <v>128</v>
      </c>
      <c r="M21" s="58"/>
      <c r="N21" s="58">
        <v>50</v>
      </c>
      <c r="O21" s="12">
        <v>0</v>
      </c>
      <c r="P21" s="14">
        <v>1126.8499999999999</v>
      </c>
      <c r="Q21" s="15">
        <f>548.18+166.65</f>
        <v>714.82999999999993</v>
      </c>
      <c r="R21" s="98">
        <f t="shared" si="0"/>
        <v>2019.6799999999998</v>
      </c>
      <c r="S21" s="16"/>
      <c r="T21" s="16"/>
      <c r="U21" s="16"/>
      <c r="V21" s="16"/>
    </row>
    <row r="22" spans="2:22" s="17" customFormat="1" ht="66.75" customHeight="1" x14ac:dyDescent="0.2">
      <c r="B22" s="99">
        <v>18</v>
      </c>
      <c r="C22" s="56" t="s">
        <v>277</v>
      </c>
      <c r="D22" s="10" t="s">
        <v>230</v>
      </c>
      <c r="E22" s="216" t="s">
        <v>646</v>
      </c>
      <c r="F22" s="193" t="s">
        <v>629</v>
      </c>
      <c r="G22" s="9" t="str">
        <f t="shared" si="1"/>
        <v>TREINAMENTO AERONÁUTICA - PROJETO AGHUSE - IMERSÃO PARA TREINAMENTO PARA IMPLANTAÇÃO DO AGHUSE - MÓDULOS FARMÁCIA, INTERNAÇÃO, EMERGÊNCIA, PRESCRIÇÃO MEDICA E DE ENFERMAGEM, ANAMNESE E EVOLUÇÃO, CONTROLES DO PACIENTE. </v>
      </c>
      <c r="H22" s="9" t="s">
        <v>161</v>
      </c>
      <c r="I22" s="18">
        <v>43313</v>
      </c>
      <c r="J22" s="10">
        <v>26</v>
      </c>
      <c r="K22" s="11">
        <v>31</v>
      </c>
      <c r="L22" s="58">
        <v>0</v>
      </c>
      <c r="M22" s="58">
        <v>0</v>
      </c>
      <c r="N22" s="58">
        <v>0</v>
      </c>
      <c r="O22" s="12">
        <v>0</v>
      </c>
      <c r="P22" s="14">
        <v>1921.85</v>
      </c>
      <c r="Q22" s="15">
        <f>1370.45+311.85</f>
        <v>1682.3000000000002</v>
      </c>
      <c r="R22" s="98">
        <f t="shared" si="0"/>
        <v>3604.15</v>
      </c>
      <c r="S22" s="16"/>
      <c r="T22" s="16"/>
      <c r="U22" s="16"/>
      <c r="V22" s="16"/>
    </row>
    <row r="23" spans="2:22" s="17" customFormat="1" ht="26.25" customHeight="1" x14ac:dyDescent="0.2">
      <c r="B23" s="99">
        <v>19</v>
      </c>
      <c r="C23" s="56" t="s">
        <v>278</v>
      </c>
      <c r="D23" s="10" t="s">
        <v>279</v>
      </c>
      <c r="E23" s="216" t="s">
        <v>647</v>
      </c>
      <c r="F23" s="193" t="s">
        <v>630</v>
      </c>
      <c r="G23" s="9" t="str">
        <f t="shared" si="1"/>
        <v> CURSO DE EDUCAÇÃO PROFISSIONAL TÉCNICA DE NÍVEL MÉDIO PARA REGISTRADORES DE CÂNCER.</v>
      </c>
      <c r="H23" s="9" t="s">
        <v>161</v>
      </c>
      <c r="I23" s="18">
        <v>43313</v>
      </c>
      <c r="J23" s="10">
        <v>19</v>
      </c>
      <c r="K23" s="11">
        <v>31</v>
      </c>
      <c r="L23" s="58">
        <v>0</v>
      </c>
      <c r="M23" s="58">
        <v>0</v>
      </c>
      <c r="N23" s="58">
        <v>0</v>
      </c>
      <c r="O23" s="12">
        <f>91+39+39+93</f>
        <v>262</v>
      </c>
      <c r="P23" s="14">
        <f>766.68+630.17</f>
        <v>1396.85</v>
      </c>
      <c r="Q23" s="15">
        <f>2691+387.7</f>
        <v>3078.7</v>
      </c>
      <c r="R23" s="98">
        <f t="shared" si="0"/>
        <v>4737.5499999999993</v>
      </c>
      <c r="S23" s="16"/>
      <c r="T23" s="16"/>
      <c r="U23" s="16"/>
      <c r="V23" s="16"/>
    </row>
    <row r="24" spans="2:22" s="17" customFormat="1" ht="34.5" customHeight="1" x14ac:dyDescent="0.2">
      <c r="B24" s="99">
        <v>20</v>
      </c>
      <c r="C24" s="56" t="s">
        <v>280</v>
      </c>
      <c r="D24" s="10" t="s">
        <v>281</v>
      </c>
      <c r="E24" s="216" t="s">
        <v>648</v>
      </c>
      <c r="F24" s="193" t="s">
        <v>631</v>
      </c>
      <c r="G24" s="9" t="str">
        <f t="shared" si="1"/>
        <v>CAPACITAÇÃO E ATUALIZAÇÃO NO TEMA DE TRANSFORMAÇÃO DIGITAL NA PRÁTICA EM GESTÃO DE INFORMAÇÕES E DOCUMENTOS.</v>
      </c>
      <c r="H24" s="9" t="s">
        <v>53</v>
      </c>
      <c r="I24" s="18">
        <v>43313</v>
      </c>
      <c r="J24" s="10">
        <v>21</v>
      </c>
      <c r="K24" s="11">
        <v>22</v>
      </c>
      <c r="L24" s="58"/>
      <c r="M24" s="58">
        <v>57.8</v>
      </c>
      <c r="N24" s="58">
        <v>0</v>
      </c>
      <c r="O24" s="12">
        <f>65+47.3+18.56+15.3+57+70</f>
        <v>273.15999999999997</v>
      </c>
      <c r="P24" s="14">
        <f>937.68+1017.17</f>
        <v>1954.85</v>
      </c>
      <c r="Q24" s="15">
        <v>446.25</v>
      </c>
      <c r="R24" s="98">
        <f t="shared" si="0"/>
        <v>2732.06</v>
      </c>
      <c r="S24" s="16"/>
      <c r="T24" s="16"/>
      <c r="U24" s="16"/>
      <c r="V24" s="16"/>
    </row>
    <row r="25" spans="2:22" s="17" customFormat="1" ht="23.25" customHeight="1" x14ac:dyDescent="0.2">
      <c r="B25" s="99">
        <v>21</v>
      </c>
      <c r="C25" s="56" t="s">
        <v>282</v>
      </c>
      <c r="D25" s="10" t="s">
        <v>283</v>
      </c>
      <c r="E25" s="9" t="s">
        <v>649</v>
      </c>
      <c r="F25" s="193" t="s">
        <v>632</v>
      </c>
      <c r="G25" s="9" t="str">
        <f t="shared" si="1"/>
        <v>MINISTRAR TREINAMENTO SOBRE AGHUSE NO HOSPITAL MILITAR DE BASE DE BRASÍLIA/DF </v>
      </c>
      <c r="H25" s="9" t="s">
        <v>9</v>
      </c>
      <c r="I25" s="18">
        <v>43344</v>
      </c>
      <c r="J25" s="10">
        <v>2</v>
      </c>
      <c r="K25" s="11">
        <v>3</v>
      </c>
      <c r="L25" s="58">
        <v>0</v>
      </c>
      <c r="M25" s="58">
        <v>163.80000000000001</v>
      </c>
      <c r="N25" s="58">
        <v>0</v>
      </c>
      <c r="O25" s="12">
        <f>70.16+25+74.86+70.16</f>
        <v>240.17999999999998</v>
      </c>
      <c r="P25" s="14">
        <v>1821.07</v>
      </c>
      <c r="Q25" s="15">
        <v>237.6</v>
      </c>
      <c r="R25" s="98">
        <f t="shared" si="0"/>
        <v>2462.65</v>
      </c>
      <c r="S25" s="16"/>
      <c r="T25" s="16"/>
      <c r="U25" s="16"/>
      <c r="V25" s="16"/>
    </row>
    <row r="26" spans="2:22" s="17" customFormat="1" ht="35.25" customHeight="1" x14ac:dyDescent="0.2">
      <c r="B26" s="99">
        <v>22</v>
      </c>
      <c r="C26" s="56" t="s">
        <v>284</v>
      </c>
      <c r="D26" s="10" t="s">
        <v>55</v>
      </c>
      <c r="E26" s="9" t="s">
        <v>652</v>
      </c>
      <c r="F26" s="188" t="s">
        <v>633</v>
      </c>
      <c r="G26" s="9" t="str">
        <f t="shared" si="1"/>
        <v>PARTICIPAÇÃO NO EVENTO: COMO REALIZAR LICITAÇÕES E EXECUTAR CONTRATOS NAS EMPRESA ESTATAIS - LEI 13.303/16. </v>
      </c>
      <c r="H26" s="9" t="s">
        <v>9</v>
      </c>
      <c r="I26" s="18">
        <v>43344</v>
      </c>
      <c r="J26" s="10">
        <v>2</v>
      </c>
      <c r="K26" s="11">
        <v>5</v>
      </c>
      <c r="L26" s="58">
        <v>0</v>
      </c>
      <c r="M26" s="58">
        <v>302.37</v>
      </c>
      <c r="N26" s="58">
        <v>0</v>
      </c>
      <c r="O26" s="12">
        <v>45</v>
      </c>
      <c r="P26" s="14">
        <f>1894.68+1279.39</f>
        <v>3174.07</v>
      </c>
      <c r="Q26" s="15">
        <f>853.6+51.7</f>
        <v>905.30000000000007</v>
      </c>
      <c r="R26" s="98">
        <f t="shared" si="0"/>
        <v>4426.74</v>
      </c>
      <c r="S26" s="16"/>
      <c r="T26" s="16"/>
      <c r="U26" s="16"/>
      <c r="V26" s="16"/>
    </row>
    <row r="27" spans="2:22" s="17" customFormat="1" ht="33.75" customHeight="1" x14ac:dyDescent="0.2">
      <c r="B27" s="99">
        <v>23</v>
      </c>
      <c r="C27" s="56" t="s">
        <v>284</v>
      </c>
      <c r="D27" s="10" t="s">
        <v>72</v>
      </c>
      <c r="E27" s="9" t="s">
        <v>650</v>
      </c>
      <c r="F27" s="193" t="s">
        <v>633</v>
      </c>
      <c r="G27" s="9" t="str">
        <f t="shared" si="1"/>
        <v>PARTICIPAÇÃO NO EVENTO: COMO REALIZAR LICITAÇÕES E EXECUTAR CONTRATOS NAS EMPRESA ESTATAIS - LEI 13.303/16. </v>
      </c>
      <c r="H27" s="9" t="s">
        <v>9</v>
      </c>
      <c r="I27" s="18">
        <v>43344</v>
      </c>
      <c r="J27" s="10">
        <v>2</v>
      </c>
      <c r="K27" s="11">
        <v>5</v>
      </c>
      <c r="L27" s="58">
        <v>0</v>
      </c>
      <c r="M27" s="58">
        <v>296.66000000000003</v>
      </c>
      <c r="N27" s="58">
        <v>0</v>
      </c>
      <c r="O27" s="12">
        <f>60+62.95+30.76+64</f>
        <v>217.71</v>
      </c>
      <c r="P27" s="14">
        <f>1894.68+1279.39</f>
        <v>3174.07</v>
      </c>
      <c r="Q27" s="15">
        <f>853.6+9.9</f>
        <v>863.5</v>
      </c>
      <c r="R27" s="98">
        <f t="shared" si="0"/>
        <v>4551.9400000000005</v>
      </c>
      <c r="S27" s="16"/>
      <c r="T27" s="16"/>
      <c r="U27" s="16"/>
      <c r="V27" s="16"/>
    </row>
    <row r="28" spans="2:22" s="17" customFormat="1" ht="24" customHeight="1" x14ac:dyDescent="0.2">
      <c r="B28" s="99">
        <v>24</v>
      </c>
      <c r="C28" s="56" t="s">
        <v>285</v>
      </c>
      <c r="D28" s="10" t="s">
        <v>286</v>
      </c>
      <c r="E28" s="216" t="s">
        <v>651</v>
      </c>
      <c r="F28" s="193" t="s">
        <v>634</v>
      </c>
      <c r="G28" s="9" t="str">
        <f t="shared" si="1"/>
        <v>TREINAMENTO EXÉRCITO BRASILEIRO - PROJETO AGHUSE - MÓDULO COLABORADOR.</v>
      </c>
      <c r="H28" s="9" t="s">
        <v>9</v>
      </c>
      <c r="I28" s="18">
        <v>43344</v>
      </c>
      <c r="J28" s="10">
        <v>2</v>
      </c>
      <c r="K28" s="11">
        <v>3</v>
      </c>
      <c r="L28" s="58"/>
      <c r="M28" s="58">
        <v>82.7</v>
      </c>
      <c r="N28" s="58">
        <v>0</v>
      </c>
      <c r="O28" s="12">
        <f>30.92+63.53+35</f>
        <v>129.44999999999999</v>
      </c>
      <c r="P28" s="14">
        <v>1749.07</v>
      </c>
      <c r="Q28" s="15">
        <v>237.6</v>
      </c>
      <c r="R28" s="98">
        <f t="shared" si="0"/>
        <v>2198.8199999999997</v>
      </c>
      <c r="S28" s="16"/>
      <c r="T28" s="16"/>
      <c r="U28" s="16"/>
      <c r="V28" s="16"/>
    </row>
    <row r="29" spans="2:22" s="17" customFormat="1" ht="36" customHeight="1" x14ac:dyDescent="0.2">
      <c r="B29" s="99">
        <v>25</v>
      </c>
      <c r="C29" s="56" t="s">
        <v>287</v>
      </c>
      <c r="D29" s="10" t="s">
        <v>78</v>
      </c>
      <c r="E29" s="216" t="s">
        <v>653</v>
      </c>
      <c r="F29" s="193" t="s">
        <v>635</v>
      </c>
      <c r="G29" s="9" t="str">
        <f t="shared" si="1"/>
        <v>TREINAMENTO EXÉRCITO BRASILEIRO - PROJETO AGHUSE - MÓDULOS COLABORADOR, PACIENTES, INTERNAÇÃO.</v>
      </c>
      <c r="H29" s="9" t="s">
        <v>9</v>
      </c>
      <c r="I29" s="18">
        <v>43344</v>
      </c>
      <c r="J29" s="10">
        <v>3</v>
      </c>
      <c r="K29" s="11">
        <v>5</v>
      </c>
      <c r="L29" s="58">
        <v>58</v>
      </c>
      <c r="M29" s="58">
        <v>0</v>
      </c>
      <c r="N29" s="58">
        <v>0</v>
      </c>
      <c r="O29" s="12">
        <f>49+26.12+27+22.35+60.34</f>
        <v>184.81</v>
      </c>
      <c r="P29" s="14">
        <f>967.68+878.49</f>
        <v>1846.17</v>
      </c>
      <c r="Q29" s="15">
        <f>585.2+108.9</f>
        <v>694.1</v>
      </c>
      <c r="R29" s="98">
        <f t="shared" si="0"/>
        <v>2783.08</v>
      </c>
      <c r="S29" s="16"/>
      <c r="T29" s="16"/>
      <c r="U29" s="16"/>
      <c r="V29" s="16"/>
    </row>
    <row r="30" spans="2:22" s="17" customFormat="1" ht="12.75" customHeight="1" x14ac:dyDescent="0.2">
      <c r="B30" s="99">
        <v>26</v>
      </c>
      <c r="C30" s="56" t="s">
        <v>288</v>
      </c>
      <c r="D30" s="10" t="s">
        <v>55</v>
      </c>
      <c r="E30" s="9" t="s">
        <v>652</v>
      </c>
      <c r="F30" s="193" t="s">
        <v>636</v>
      </c>
      <c r="G30" s="9" t="str">
        <f t="shared" si="1"/>
        <v>REUNIÃO NA CGU</v>
      </c>
      <c r="H30" s="9" t="s">
        <v>9</v>
      </c>
      <c r="I30" s="18">
        <v>43344</v>
      </c>
      <c r="J30" s="10">
        <v>5</v>
      </c>
      <c r="K30" s="11">
        <v>6</v>
      </c>
      <c r="L30" s="58"/>
      <c r="M30" s="58">
        <v>97</v>
      </c>
      <c r="N30" s="58">
        <v>0</v>
      </c>
      <c r="O30" s="12">
        <f>15+79+36</f>
        <v>130</v>
      </c>
      <c r="P30" s="14">
        <v>0</v>
      </c>
      <c r="Q30" s="15">
        <f>317.9+4.95</f>
        <v>322.84999999999997</v>
      </c>
      <c r="R30" s="98">
        <f t="shared" si="0"/>
        <v>549.84999999999991</v>
      </c>
      <c r="S30" s="16"/>
      <c r="T30" s="16"/>
      <c r="U30" s="16"/>
      <c r="V30" s="16"/>
    </row>
    <row r="31" spans="2:22" s="17" customFormat="1" ht="12.75" customHeight="1" x14ac:dyDescent="0.2">
      <c r="B31" s="99">
        <v>27</v>
      </c>
      <c r="C31" s="56" t="s">
        <v>289</v>
      </c>
      <c r="D31" s="10" t="s">
        <v>72</v>
      </c>
      <c r="E31" s="9" t="s">
        <v>650</v>
      </c>
      <c r="F31" s="193" t="s">
        <v>636</v>
      </c>
      <c r="G31" s="9" t="str">
        <f t="shared" si="1"/>
        <v>REUNIÃO NA CGU</v>
      </c>
      <c r="H31" s="9" t="s">
        <v>9</v>
      </c>
      <c r="I31" s="18">
        <v>43344</v>
      </c>
      <c r="J31" s="10">
        <v>5</v>
      </c>
      <c r="K31" s="11">
        <v>6</v>
      </c>
      <c r="L31" s="58"/>
      <c r="M31" s="58">
        <v>97</v>
      </c>
      <c r="N31" s="58">
        <v>0</v>
      </c>
      <c r="O31" s="12">
        <v>0</v>
      </c>
      <c r="P31" s="14">
        <v>0</v>
      </c>
      <c r="Q31" s="15">
        <f>317.9+42.35</f>
        <v>360.25</v>
      </c>
      <c r="R31" s="98">
        <f t="shared" si="0"/>
        <v>457.25</v>
      </c>
      <c r="S31" s="16"/>
      <c r="T31" s="16"/>
      <c r="U31" s="16"/>
      <c r="V31" s="16"/>
    </row>
    <row r="32" spans="2:22" s="17" customFormat="1" ht="36" customHeight="1" thickBot="1" x14ac:dyDescent="0.25">
      <c r="B32" s="100">
        <v>28</v>
      </c>
      <c r="C32" s="101" t="s">
        <v>290</v>
      </c>
      <c r="D32" s="104" t="s">
        <v>291</v>
      </c>
      <c r="E32" s="235" t="s">
        <v>654</v>
      </c>
      <c r="F32" s="196" t="s">
        <v>633</v>
      </c>
      <c r="G32" s="102" t="str">
        <f t="shared" si="1"/>
        <v>PARTICIPAÇÃO NO EVENTO: COMO REALIZAR LICITAÇÕES E EXECUTAR CONTRATOS NAS EMPRESA ESTATAIS - LEI 13.303/16. </v>
      </c>
      <c r="H32" s="102" t="s">
        <v>9</v>
      </c>
      <c r="I32" s="103">
        <v>43344</v>
      </c>
      <c r="J32" s="104">
        <v>2</v>
      </c>
      <c r="K32" s="105">
        <v>5</v>
      </c>
      <c r="L32" s="149">
        <v>45</v>
      </c>
      <c r="M32" s="149">
        <v>313.44</v>
      </c>
      <c r="N32" s="149">
        <v>0</v>
      </c>
      <c r="O32" s="128">
        <f>65+45+45</f>
        <v>155</v>
      </c>
      <c r="P32" s="107">
        <v>2215.0700000000002</v>
      </c>
      <c r="Q32" s="108">
        <f>853.6+10.45</f>
        <v>864.05000000000007</v>
      </c>
      <c r="R32" s="109">
        <f t="shared" si="0"/>
        <v>3592.5600000000004</v>
      </c>
      <c r="S32" s="16"/>
      <c r="T32" s="16"/>
      <c r="U32" s="16"/>
      <c r="V32" s="16"/>
    </row>
    <row r="33" spans="3:18" s="31" customFormat="1" ht="24.75" customHeight="1" x14ac:dyDescent="0.2">
      <c r="C33" s="32"/>
      <c r="D33" s="32"/>
      <c r="E33" s="32"/>
      <c r="F33" s="32"/>
      <c r="G33" s="32"/>
      <c r="H33" s="34"/>
      <c r="I33" s="32"/>
      <c r="J33" s="20"/>
      <c r="K33" s="33"/>
      <c r="L33" s="36">
        <f t="shared" ref="L33:Q33" si="2">SUM(L5:L32)</f>
        <v>1007.56</v>
      </c>
      <c r="M33" s="36">
        <f t="shared" si="2"/>
        <v>2156.87</v>
      </c>
      <c r="N33" s="36">
        <f t="shared" si="2"/>
        <v>50</v>
      </c>
      <c r="O33" s="133">
        <f t="shared" si="2"/>
        <v>2605.5100000000002</v>
      </c>
      <c r="P33" s="60">
        <f t="shared" si="2"/>
        <v>40557.709999999992</v>
      </c>
      <c r="Q33" s="61">
        <f t="shared" si="2"/>
        <v>23144.579999999994</v>
      </c>
      <c r="R33" s="59">
        <f>SUM(R5:R32)+O34</f>
        <v>69548.285099999994</v>
      </c>
    </row>
    <row r="34" spans="3:18" s="40" customFormat="1" ht="24.75" customHeight="1" thickBot="1" x14ac:dyDescent="0.3">
      <c r="C34" s="41"/>
      <c r="D34" s="288"/>
      <c r="E34" s="288"/>
      <c r="F34" s="288"/>
      <c r="G34" s="288"/>
      <c r="H34" s="288"/>
      <c r="I34" s="288"/>
      <c r="J34" s="288"/>
      <c r="K34" s="42"/>
      <c r="L34" s="43"/>
      <c r="M34" s="43"/>
      <c r="N34" s="91" t="s">
        <v>315</v>
      </c>
      <c r="O34" s="27">
        <f>O33*1%</f>
        <v>26.055100000000003</v>
      </c>
      <c r="R34" s="44"/>
    </row>
    <row r="35" spans="3:18" s="40" customFormat="1" ht="24.75" customHeight="1" thickBot="1" x14ac:dyDescent="0.3">
      <c r="C35" s="41"/>
      <c r="D35" s="170" t="s">
        <v>369</v>
      </c>
      <c r="E35" s="273"/>
      <c r="F35" s="273"/>
      <c r="G35" s="273"/>
      <c r="H35" s="45"/>
      <c r="I35" s="41"/>
      <c r="J35" s="41"/>
      <c r="K35" s="42"/>
      <c r="L35" s="43"/>
      <c r="M35" s="43"/>
      <c r="N35" s="43"/>
      <c r="O35" s="93">
        <f>O33+O34</f>
        <v>2631.5651000000003</v>
      </c>
      <c r="P35" s="46"/>
      <c r="Q35" s="44"/>
      <c r="R35" s="47" t="s">
        <v>50</v>
      </c>
    </row>
    <row r="36" spans="3:18" s="40" customFormat="1" ht="24.75" customHeight="1" x14ac:dyDescent="0.2">
      <c r="C36" s="41"/>
      <c r="D36" s="289"/>
      <c r="E36" s="289"/>
      <c r="F36" s="289"/>
      <c r="G36" s="289"/>
      <c r="H36" s="289"/>
      <c r="I36" s="289"/>
      <c r="J36" s="289"/>
      <c r="K36" s="42"/>
      <c r="L36" s="43"/>
      <c r="M36" s="43"/>
      <c r="N36" s="43"/>
      <c r="O36" s="27"/>
      <c r="P36" s="5" t="s">
        <v>49</v>
      </c>
      <c r="Q36" s="167">
        <f>L33+M33+N33+O35+P33+Q33</f>
        <v>69548.285099999979</v>
      </c>
      <c r="R36" s="48">
        <f>R33-Q36</f>
        <v>0</v>
      </c>
    </row>
    <row r="37" spans="3:18" ht="24.75" customHeight="1" x14ac:dyDescent="0.25">
      <c r="C37" s="49"/>
      <c r="D37" s="50"/>
      <c r="E37" s="50"/>
      <c r="F37" s="50"/>
      <c r="G37" s="50"/>
      <c r="H37" s="51"/>
      <c r="I37" s="52"/>
      <c r="J37" s="52"/>
      <c r="K37" s="52"/>
      <c r="N37" s="91" t="s">
        <v>315</v>
      </c>
      <c r="O37" s="27" t="s">
        <v>316</v>
      </c>
    </row>
    <row r="38" spans="3:18" ht="24.75" customHeight="1" x14ac:dyDescent="0.25">
      <c r="C38" s="49"/>
      <c r="D38" s="50"/>
      <c r="E38" s="50"/>
      <c r="F38" s="50"/>
      <c r="G38" s="50"/>
      <c r="H38" s="51"/>
      <c r="I38" s="52"/>
      <c r="J38" s="52"/>
      <c r="K38" s="52"/>
      <c r="O38" s="27"/>
    </row>
    <row r="39" spans="3:18" ht="24.75" customHeight="1" x14ac:dyDescent="0.25">
      <c r="C39" s="49"/>
      <c r="D39" s="50"/>
      <c r="E39" s="50"/>
      <c r="F39" s="50"/>
      <c r="G39" s="50"/>
      <c r="H39" s="51"/>
      <c r="I39" s="52"/>
      <c r="J39" s="52"/>
      <c r="K39" s="52"/>
      <c r="O39" s="27"/>
    </row>
    <row r="40" spans="3:18" ht="24.75" customHeight="1" x14ac:dyDescent="0.25">
      <c r="C40" s="49"/>
      <c r="D40" s="50"/>
      <c r="E40" s="50"/>
      <c r="F40" s="50"/>
      <c r="G40" s="50"/>
      <c r="H40" s="51"/>
      <c r="I40" s="52"/>
      <c r="J40" s="52"/>
      <c r="K40" s="52"/>
      <c r="O40" s="27"/>
    </row>
    <row r="41" spans="3:18" ht="24.75" customHeight="1" x14ac:dyDescent="0.25">
      <c r="C41" s="49"/>
      <c r="D41" s="50"/>
      <c r="E41" s="50"/>
      <c r="F41" s="50"/>
      <c r="G41" s="50"/>
      <c r="H41" s="51"/>
      <c r="I41" s="52"/>
      <c r="J41" s="52"/>
      <c r="K41" s="52"/>
      <c r="O41" s="27"/>
    </row>
    <row r="42" spans="3:18" ht="24.75" customHeight="1" x14ac:dyDescent="0.25">
      <c r="C42" s="49"/>
      <c r="D42" s="50"/>
      <c r="E42" s="50"/>
      <c r="F42" s="50"/>
      <c r="G42" s="50"/>
      <c r="H42" s="51"/>
      <c r="I42" s="52"/>
      <c r="J42" s="52"/>
      <c r="K42" s="52"/>
      <c r="O42" s="27"/>
    </row>
    <row r="43" spans="3:18" ht="24.75" customHeight="1" x14ac:dyDescent="0.25">
      <c r="C43" s="49"/>
      <c r="D43" s="50"/>
      <c r="E43" s="50"/>
      <c r="F43" s="50"/>
      <c r="G43" s="50"/>
      <c r="H43" s="51"/>
      <c r="I43" s="52"/>
      <c r="J43" s="52"/>
      <c r="K43" s="52"/>
      <c r="O43" s="27"/>
    </row>
    <row r="44" spans="3:18" ht="24.75" customHeight="1" x14ac:dyDescent="0.25">
      <c r="C44" s="49"/>
      <c r="H44" s="51"/>
      <c r="I44" s="52"/>
      <c r="J44" s="52"/>
      <c r="K44" s="52"/>
      <c r="O44" s="27"/>
    </row>
    <row r="45" spans="3:18" ht="24.75" customHeight="1" x14ac:dyDescent="0.25">
      <c r="C45" s="49"/>
      <c r="D45" s="50"/>
      <c r="E45" s="50"/>
      <c r="F45" s="50"/>
      <c r="G45" s="50"/>
      <c r="H45" s="51"/>
      <c r="I45" s="52"/>
      <c r="J45" s="52"/>
      <c r="K45" s="52"/>
      <c r="O45" s="27"/>
    </row>
    <row r="46" spans="3:18" ht="24.75" customHeight="1" x14ac:dyDescent="0.25">
      <c r="C46" s="49"/>
      <c r="D46" s="50"/>
      <c r="E46" s="50"/>
      <c r="F46" s="50"/>
      <c r="G46" s="50"/>
      <c r="H46" s="51"/>
      <c r="I46" s="52"/>
      <c r="J46" s="52"/>
      <c r="K46" s="52"/>
      <c r="O46" s="53"/>
    </row>
    <row r="47" spans="3:18" ht="24.75" customHeight="1" x14ac:dyDescent="0.25">
      <c r="C47" s="49"/>
      <c r="D47" s="50"/>
      <c r="E47" s="50"/>
      <c r="F47" s="50"/>
      <c r="G47" s="50"/>
      <c r="H47" s="51"/>
      <c r="I47" s="52"/>
      <c r="J47" s="52"/>
      <c r="K47" s="52"/>
      <c r="O47" s="40"/>
      <c r="P47"/>
      <c r="Q47"/>
      <c r="R47"/>
    </row>
    <row r="48" spans="3:18" ht="24.75" customHeight="1" x14ac:dyDescent="0.25">
      <c r="C48" s="49"/>
      <c r="D48" s="50"/>
      <c r="E48" s="50"/>
      <c r="F48" s="50"/>
      <c r="G48" s="50"/>
      <c r="H48" s="51"/>
      <c r="I48" s="52"/>
      <c r="J48" s="52"/>
      <c r="K48" s="52"/>
      <c r="O48" s="40"/>
      <c r="P48"/>
      <c r="Q48"/>
      <c r="R48"/>
    </row>
    <row r="49" spans="3:18" ht="24.75" customHeight="1" x14ac:dyDescent="0.25">
      <c r="C49" s="49"/>
      <c r="D49" s="50"/>
      <c r="E49" s="50"/>
      <c r="F49" s="50"/>
      <c r="G49" s="50"/>
      <c r="H49" s="51"/>
      <c r="I49" s="52"/>
      <c r="J49" s="52"/>
      <c r="K49" s="52"/>
      <c r="O49" s="40"/>
      <c r="P49"/>
      <c r="Q49"/>
      <c r="R49"/>
    </row>
    <row r="50" spans="3:18" ht="24.75" customHeight="1" x14ac:dyDescent="0.25">
      <c r="C50" s="49"/>
      <c r="D50" s="50"/>
      <c r="E50" s="50"/>
      <c r="F50" s="50"/>
      <c r="G50" s="50"/>
      <c r="H50" s="51"/>
      <c r="I50" s="52"/>
      <c r="J50" s="52"/>
      <c r="K50" s="52"/>
      <c r="P50"/>
      <c r="Q50"/>
      <c r="R50"/>
    </row>
    <row r="51" spans="3:18" ht="24.75" customHeight="1" x14ac:dyDescent="0.25">
      <c r="C51" s="49"/>
      <c r="D51" s="50"/>
      <c r="E51" s="50"/>
      <c r="F51" s="50"/>
      <c r="G51" s="50"/>
      <c r="H51" s="51"/>
      <c r="I51" s="52"/>
      <c r="J51" s="52"/>
      <c r="K51" s="52"/>
      <c r="P51"/>
      <c r="Q51"/>
      <c r="R51"/>
    </row>
    <row r="52" spans="3:18" ht="24.75" customHeight="1" x14ac:dyDescent="0.25">
      <c r="C52" s="49"/>
      <c r="D52" s="50"/>
      <c r="E52" s="50"/>
      <c r="F52" s="50"/>
      <c r="G52" s="50"/>
      <c r="H52" s="51"/>
      <c r="I52" s="52"/>
      <c r="J52" s="52"/>
      <c r="K52" s="52"/>
      <c r="P52"/>
      <c r="Q52"/>
      <c r="R52"/>
    </row>
    <row r="53" spans="3:18" ht="24.75" customHeight="1" x14ac:dyDescent="0.25">
      <c r="C53" s="49"/>
      <c r="D53" s="50"/>
      <c r="E53" s="50"/>
      <c r="F53" s="50"/>
      <c r="G53" s="50"/>
      <c r="H53" s="51"/>
      <c r="I53" s="52"/>
      <c r="J53" s="52"/>
      <c r="K53" s="52"/>
      <c r="P53"/>
      <c r="Q53"/>
      <c r="R53"/>
    </row>
    <row r="54" spans="3:18" ht="24.75" customHeight="1" x14ac:dyDescent="0.25">
      <c r="C54" s="49"/>
      <c r="D54" s="50"/>
      <c r="E54" s="50"/>
      <c r="F54" s="50"/>
      <c r="G54" s="50"/>
      <c r="H54" s="51"/>
      <c r="I54" s="52"/>
      <c r="J54" s="52"/>
      <c r="K54" s="52"/>
      <c r="P54"/>
      <c r="Q54"/>
      <c r="R54"/>
    </row>
    <row r="55" spans="3:18" ht="24.75" customHeight="1" x14ac:dyDescent="0.25">
      <c r="C55" s="49"/>
      <c r="D55" s="50"/>
      <c r="E55" s="50"/>
      <c r="F55" s="50"/>
      <c r="G55" s="50"/>
      <c r="H55" s="51"/>
      <c r="I55" s="52"/>
      <c r="J55" s="52"/>
      <c r="K55" s="52"/>
      <c r="P55"/>
      <c r="Q55"/>
      <c r="R55"/>
    </row>
    <row r="56" spans="3:18" ht="24.75" customHeight="1" x14ac:dyDescent="0.25">
      <c r="C56" s="49"/>
      <c r="D56" s="50"/>
      <c r="E56" s="50"/>
      <c r="F56" s="50"/>
      <c r="G56" s="50"/>
      <c r="H56" s="51"/>
      <c r="I56" s="52"/>
      <c r="J56" s="52"/>
      <c r="K56" s="52"/>
      <c r="P56"/>
      <c r="Q56"/>
      <c r="R56"/>
    </row>
    <row r="57" spans="3:18" ht="24.75" customHeight="1" x14ac:dyDescent="0.25">
      <c r="C57" s="49"/>
      <c r="D57" s="50"/>
      <c r="E57" s="50"/>
      <c r="F57" s="50"/>
      <c r="G57" s="50"/>
      <c r="H57" s="51"/>
      <c r="I57" s="52"/>
      <c r="J57" s="52"/>
      <c r="K57" s="52"/>
      <c r="P57"/>
      <c r="Q57"/>
      <c r="R57"/>
    </row>
    <row r="58" spans="3:18" ht="24.75" customHeight="1" x14ac:dyDescent="0.25">
      <c r="C58" s="49"/>
      <c r="D58" s="50"/>
      <c r="E58" s="50"/>
      <c r="F58" s="50"/>
      <c r="G58" s="50"/>
      <c r="H58" s="51"/>
      <c r="I58" s="52"/>
      <c r="J58" s="52"/>
      <c r="K58" s="52"/>
      <c r="P58"/>
      <c r="Q58"/>
      <c r="R58"/>
    </row>
    <row r="59" spans="3:18" ht="24.75" customHeight="1" x14ac:dyDescent="0.25">
      <c r="C59" s="49"/>
      <c r="D59" s="50"/>
      <c r="E59" s="50"/>
      <c r="F59" s="50"/>
      <c r="G59" s="50"/>
      <c r="H59" s="51"/>
      <c r="I59" s="52"/>
      <c r="J59" s="52"/>
      <c r="K59" s="52"/>
      <c r="P59"/>
      <c r="Q59"/>
      <c r="R59"/>
    </row>
    <row r="60" spans="3:18" ht="24.75" customHeight="1" x14ac:dyDescent="0.25">
      <c r="C60" s="49"/>
      <c r="D60" s="50"/>
      <c r="E60" s="50"/>
      <c r="F60" s="50"/>
      <c r="G60" s="50"/>
      <c r="H60" s="51"/>
      <c r="I60" s="52"/>
      <c r="J60" s="52"/>
      <c r="K60" s="52"/>
      <c r="P60"/>
      <c r="Q60"/>
      <c r="R60"/>
    </row>
    <row r="61" spans="3:18" ht="24.75" customHeight="1" x14ac:dyDescent="0.25">
      <c r="C61" s="49"/>
      <c r="D61" s="50"/>
      <c r="E61" s="50"/>
      <c r="F61" s="50"/>
      <c r="G61" s="50"/>
      <c r="H61" s="51"/>
      <c r="I61" s="52"/>
      <c r="J61" s="52"/>
      <c r="K61" s="52"/>
      <c r="P61"/>
      <c r="Q61"/>
      <c r="R61"/>
    </row>
    <row r="62" spans="3:18" ht="24.75" customHeight="1" x14ac:dyDescent="0.25">
      <c r="C62" s="49"/>
      <c r="D62" s="50"/>
      <c r="E62" s="50"/>
      <c r="F62" s="50"/>
      <c r="G62" s="50"/>
      <c r="H62" s="51"/>
      <c r="I62" s="52"/>
      <c r="J62" s="52"/>
      <c r="K62" s="52"/>
      <c r="P62"/>
      <c r="Q62"/>
      <c r="R62"/>
    </row>
    <row r="63" spans="3:18" ht="24.75" customHeight="1" x14ac:dyDescent="0.25">
      <c r="C63" s="49"/>
      <c r="D63" s="50"/>
      <c r="E63" s="50"/>
      <c r="F63" s="50"/>
      <c r="G63" s="50"/>
      <c r="H63" s="51"/>
      <c r="I63" s="52"/>
      <c r="J63" s="52"/>
      <c r="K63" s="52"/>
      <c r="L63"/>
      <c r="M63"/>
      <c r="N63"/>
      <c r="P63"/>
      <c r="Q63"/>
      <c r="R63"/>
    </row>
    <row r="64" spans="3:18" ht="24.75" customHeight="1" x14ac:dyDescent="0.25">
      <c r="C64" s="49"/>
      <c r="D64" s="50"/>
      <c r="E64" s="50"/>
      <c r="F64" s="50"/>
      <c r="G64" s="50"/>
      <c r="H64" s="51"/>
      <c r="I64" s="52"/>
      <c r="J64" s="52"/>
      <c r="K64" s="52"/>
      <c r="L64"/>
      <c r="M64"/>
      <c r="N64"/>
      <c r="P64"/>
      <c r="Q64"/>
      <c r="R64"/>
    </row>
    <row r="65" spans="3:18" ht="24.75" customHeight="1" x14ac:dyDescent="0.25">
      <c r="C65" s="49"/>
      <c r="D65" s="50"/>
      <c r="E65" s="50"/>
      <c r="F65" s="50"/>
      <c r="G65" s="50"/>
      <c r="H65" s="51"/>
      <c r="I65" s="52"/>
      <c r="J65" s="52"/>
      <c r="K65" s="52"/>
      <c r="L65"/>
      <c r="M65"/>
      <c r="N65"/>
      <c r="P65"/>
      <c r="Q65"/>
      <c r="R65"/>
    </row>
    <row r="66" spans="3:18" ht="24.75" customHeight="1" x14ac:dyDescent="0.25">
      <c r="C66" s="49"/>
      <c r="D66" s="50"/>
      <c r="E66" s="50"/>
      <c r="F66" s="50"/>
      <c r="G66" s="50"/>
      <c r="H66" s="51"/>
      <c r="I66" s="52"/>
      <c r="J66" s="52"/>
      <c r="K66" s="52"/>
      <c r="L66"/>
      <c r="M66"/>
      <c r="N66"/>
      <c r="P66"/>
      <c r="Q66"/>
      <c r="R66"/>
    </row>
    <row r="67" spans="3:18" ht="24.75" customHeight="1" x14ac:dyDescent="0.25">
      <c r="C67" s="49"/>
      <c r="D67" s="50"/>
      <c r="E67" s="50"/>
      <c r="F67" s="50"/>
      <c r="G67" s="50"/>
      <c r="H67" s="51"/>
      <c r="I67" s="52"/>
      <c r="J67" s="52"/>
      <c r="K67" s="52"/>
      <c r="L67"/>
      <c r="M67"/>
      <c r="N67"/>
      <c r="P67"/>
      <c r="Q67"/>
      <c r="R67"/>
    </row>
    <row r="68" spans="3:18" ht="24.75" customHeight="1" x14ac:dyDescent="0.25">
      <c r="C68" s="49"/>
      <c r="D68" s="50"/>
      <c r="E68" s="50"/>
      <c r="F68" s="50"/>
      <c r="G68" s="50"/>
      <c r="H68" s="51"/>
      <c r="I68" s="52"/>
      <c r="J68" s="52"/>
      <c r="K68" s="52"/>
      <c r="L68"/>
      <c r="M68"/>
      <c r="N68"/>
      <c r="P68"/>
      <c r="Q68"/>
      <c r="R68"/>
    </row>
    <row r="69" spans="3:18" ht="24.75" customHeight="1" x14ac:dyDescent="0.25">
      <c r="C69" s="49"/>
      <c r="D69" s="50"/>
      <c r="E69" s="50"/>
      <c r="F69" s="50"/>
      <c r="G69" s="50"/>
      <c r="H69" s="51"/>
      <c r="I69" s="52"/>
      <c r="J69" s="52"/>
      <c r="K69" s="52"/>
      <c r="L69"/>
      <c r="M69"/>
      <c r="N69"/>
      <c r="P69"/>
      <c r="Q69"/>
      <c r="R69"/>
    </row>
    <row r="70" spans="3:18" ht="24.75" customHeight="1" x14ac:dyDescent="0.25">
      <c r="C70" s="49"/>
      <c r="D70" s="50"/>
      <c r="E70" s="50"/>
      <c r="F70" s="50"/>
      <c r="G70" s="50"/>
      <c r="H70" s="51"/>
      <c r="I70" s="52"/>
      <c r="J70" s="52"/>
      <c r="K70" s="52"/>
      <c r="L70"/>
      <c r="M70"/>
      <c r="N70"/>
      <c r="P70"/>
      <c r="Q70"/>
      <c r="R70"/>
    </row>
    <row r="71" spans="3:18" ht="24.75" customHeight="1" x14ac:dyDescent="0.25">
      <c r="C71" s="49"/>
      <c r="D71" s="50"/>
      <c r="E71" s="50"/>
      <c r="F71" s="50"/>
      <c r="G71" s="50"/>
      <c r="H71" s="51"/>
      <c r="I71" s="52"/>
      <c r="J71" s="52"/>
      <c r="K71" s="52"/>
      <c r="L71"/>
      <c r="M71"/>
      <c r="N71"/>
      <c r="P71"/>
      <c r="Q71"/>
      <c r="R71"/>
    </row>
    <row r="72" spans="3:18" ht="24.75" customHeight="1" x14ac:dyDescent="0.25">
      <c r="C72" s="49"/>
      <c r="D72" s="50"/>
      <c r="E72" s="50"/>
      <c r="F72" s="50"/>
      <c r="G72" s="50"/>
      <c r="H72" s="51"/>
      <c r="I72" s="52"/>
      <c r="J72" s="52"/>
      <c r="K72" s="52"/>
      <c r="L72"/>
      <c r="M72"/>
      <c r="N72"/>
      <c r="P72"/>
      <c r="Q72"/>
      <c r="R72"/>
    </row>
    <row r="73" spans="3:18" ht="24.75" customHeight="1" x14ac:dyDescent="0.25">
      <c r="C73" s="49"/>
      <c r="D73" s="50"/>
      <c r="E73" s="50"/>
      <c r="F73" s="50"/>
      <c r="G73" s="50"/>
      <c r="H73" s="51"/>
      <c r="I73" s="52"/>
      <c r="J73" s="52"/>
      <c r="K73" s="52"/>
      <c r="L73"/>
      <c r="M73"/>
      <c r="N73"/>
      <c r="P73"/>
      <c r="Q73"/>
      <c r="R73"/>
    </row>
    <row r="74" spans="3:18" ht="24.75" customHeight="1" x14ac:dyDescent="0.25">
      <c r="C74" s="49"/>
      <c r="D74" s="50"/>
      <c r="E74" s="50"/>
      <c r="F74" s="50"/>
      <c r="G74" s="50"/>
      <c r="H74" s="51"/>
      <c r="I74" s="52"/>
      <c r="J74" s="52"/>
      <c r="K74" s="52"/>
      <c r="L74"/>
      <c r="M74"/>
      <c r="N74"/>
      <c r="P74"/>
      <c r="Q74"/>
      <c r="R74"/>
    </row>
    <row r="75" spans="3:18" ht="24.75" customHeight="1" x14ac:dyDescent="0.25">
      <c r="C75" s="49"/>
      <c r="D75" s="50"/>
      <c r="E75" s="50"/>
      <c r="F75" s="50"/>
      <c r="G75" s="50"/>
      <c r="H75" s="51"/>
      <c r="I75" s="52"/>
      <c r="J75" s="52"/>
      <c r="K75" s="52"/>
      <c r="L75"/>
      <c r="M75"/>
      <c r="N75"/>
      <c r="P75"/>
      <c r="Q75"/>
      <c r="R75"/>
    </row>
    <row r="76" spans="3:18" ht="24.75" customHeight="1" x14ac:dyDescent="0.25">
      <c r="C76" s="49"/>
      <c r="D76" s="50"/>
      <c r="E76" s="50"/>
      <c r="F76" s="50"/>
      <c r="G76" s="50"/>
      <c r="H76" s="51"/>
      <c r="I76" s="52"/>
      <c r="J76" s="52"/>
      <c r="K76" s="52"/>
      <c r="L76"/>
      <c r="M76"/>
      <c r="N76"/>
      <c r="P76"/>
      <c r="Q76"/>
      <c r="R76"/>
    </row>
    <row r="77" spans="3:18" ht="24.75" customHeight="1" x14ac:dyDescent="0.25">
      <c r="C77" s="49"/>
      <c r="D77" s="50"/>
      <c r="E77" s="50"/>
      <c r="F77" s="50"/>
      <c r="G77" s="50"/>
      <c r="H77" s="51"/>
      <c r="I77" s="52"/>
      <c r="J77" s="52"/>
      <c r="K77" s="52"/>
      <c r="L77"/>
      <c r="M77"/>
      <c r="N77"/>
      <c r="P77"/>
      <c r="Q77"/>
      <c r="R77"/>
    </row>
    <row r="78" spans="3:18" ht="24.75" customHeight="1" x14ac:dyDescent="0.25">
      <c r="C78" s="49"/>
      <c r="D78" s="50"/>
      <c r="E78" s="50"/>
      <c r="F78" s="50"/>
      <c r="G78" s="50"/>
      <c r="H78" s="51"/>
      <c r="I78" s="52"/>
      <c r="J78" s="52"/>
      <c r="K78" s="52"/>
      <c r="L78"/>
      <c r="M78"/>
      <c r="N78"/>
      <c r="P78"/>
      <c r="Q78"/>
      <c r="R78"/>
    </row>
    <row r="79" spans="3:18" ht="24.75" customHeight="1" x14ac:dyDescent="0.25">
      <c r="C79" s="49"/>
      <c r="D79" s="50"/>
      <c r="E79" s="50"/>
      <c r="F79" s="50"/>
      <c r="G79" s="50"/>
      <c r="H79" s="51"/>
      <c r="I79" s="52"/>
      <c r="J79" s="52"/>
      <c r="K79" s="52"/>
      <c r="L79"/>
      <c r="M79"/>
      <c r="N79"/>
      <c r="P79"/>
      <c r="Q79"/>
      <c r="R79"/>
    </row>
    <row r="80" spans="3:18" ht="24.75" customHeight="1" x14ac:dyDescent="0.25">
      <c r="C80" s="49"/>
      <c r="D80" s="50"/>
      <c r="E80" s="50"/>
      <c r="F80" s="50"/>
      <c r="G80" s="50"/>
      <c r="H80" s="51"/>
      <c r="I80" s="52"/>
      <c r="J80" s="52"/>
      <c r="K80" s="52"/>
      <c r="L80"/>
      <c r="M80"/>
      <c r="N80"/>
      <c r="P80"/>
      <c r="Q80"/>
      <c r="R80"/>
    </row>
    <row r="81" spans="3:18" ht="24.75" customHeight="1" x14ac:dyDescent="0.25">
      <c r="C81" s="49"/>
      <c r="D81" s="50"/>
      <c r="E81" s="50"/>
      <c r="F81" s="50"/>
      <c r="G81" s="50"/>
      <c r="H81" s="51"/>
      <c r="I81" s="52"/>
      <c r="J81" s="52"/>
      <c r="K81" s="52"/>
      <c r="L81"/>
      <c r="M81"/>
      <c r="N81"/>
      <c r="P81"/>
      <c r="Q81"/>
      <c r="R81"/>
    </row>
    <row r="82" spans="3:18" ht="24.75" customHeight="1" x14ac:dyDescent="0.25">
      <c r="C82" s="49"/>
      <c r="D82" s="50"/>
      <c r="E82" s="50"/>
      <c r="F82" s="50"/>
      <c r="G82" s="50"/>
      <c r="H82" s="51"/>
      <c r="I82" s="52"/>
      <c r="J82" s="52"/>
      <c r="K82" s="52"/>
      <c r="L82"/>
      <c r="M82"/>
      <c r="N82"/>
      <c r="P82"/>
      <c r="Q82"/>
      <c r="R82"/>
    </row>
    <row r="83" spans="3:18" ht="24.75" customHeight="1" x14ac:dyDescent="0.25">
      <c r="C83" s="49"/>
      <c r="D83" s="50"/>
      <c r="E83" s="50"/>
      <c r="F83" s="50"/>
      <c r="G83" s="50"/>
      <c r="H83" s="51"/>
      <c r="I83" s="52"/>
      <c r="J83" s="52"/>
      <c r="K83" s="52"/>
      <c r="L83"/>
      <c r="M83"/>
      <c r="N83"/>
      <c r="P83"/>
      <c r="Q83"/>
      <c r="R83"/>
    </row>
    <row r="84" spans="3:18" ht="24.75" customHeight="1" x14ac:dyDescent="0.25">
      <c r="C84" s="49"/>
      <c r="D84" s="50"/>
      <c r="E84" s="50"/>
      <c r="F84" s="50"/>
      <c r="G84" s="50"/>
      <c r="H84" s="51"/>
      <c r="I84" s="52"/>
      <c r="J84" s="52"/>
      <c r="K84" s="52"/>
      <c r="L84"/>
      <c r="M84"/>
      <c r="N84"/>
      <c r="P84"/>
      <c r="Q84"/>
      <c r="R84"/>
    </row>
    <row r="85" spans="3:18" ht="24.75" customHeight="1" x14ac:dyDescent="0.25">
      <c r="C85" s="49"/>
      <c r="D85" s="50"/>
      <c r="E85" s="50"/>
      <c r="F85" s="50"/>
      <c r="G85" s="50"/>
      <c r="H85" s="51"/>
      <c r="I85" s="52"/>
      <c r="J85" s="52"/>
      <c r="K85" s="52"/>
      <c r="L85"/>
      <c r="M85"/>
      <c r="N85"/>
      <c r="P85"/>
      <c r="Q85"/>
      <c r="R85"/>
    </row>
    <row r="86" spans="3:18" ht="24.75" customHeight="1" x14ac:dyDescent="0.25">
      <c r="C86" s="49"/>
      <c r="D86" s="50"/>
      <c r="E86" s="50"/>
      <c r="F86" s="50"/>
      <c r="G86" s="50"/>
      <c r="H86" s="51"/>
      <c r="I86" s="52"/>
      <c r="J86" s="52"/>
      <c r="K86" s="52"/>
      <c r="L86"/>
      <c r="M86"/>
      <c r="N86"/>
      <c r="P86"/>
      <c r="Q86"/>
      <c r="R86"/>
    </row>
    <row r="87" spans="3:18" ht="24.75" customHeight="1" x14ac:dyDescent="0.25">
      <c r="C87" s="49"/>
      <c r="D87" s="50"/>
      <c r="E87" s="50"/>
      <c r="F87" s="50"/>
      <c r="G87" s="50"/>
      <c r="H87" s="51"/>
      <c r="I87" s="52"/>
      <c r="J87" s="52"/>
      <c r="K87" s="52"/>
      <c r="L87"/>
      <c r="M87"/>
      <c r="N87"/>
      <c r="P87"/>
      <c r="Q87"/>
      <c r="R87"/>
    </row>
    <row r="88" spans="3:18" ht="24.75" customHeight="1" x14ac:dyDescent="0.25">
      <c r="C88" s="49"/>
      <c r="D88" s="50"/>
      <c r="E88" s="50"/>
      <c r="F88" s="50"/>
      <c r="G88" s="50"/>
      <c r="H88" s="51"/>
      <c r="I88" s="52"/>
      <c r="J88" s="52"/>
      <c r="K88" s="52"/>
      <c r="L88"/>
      <c r="M88"/>
      <c r="N88"/>
      <c r="P88"/>
      <c r="Q88"/>
      <c r="R88"/>
    </row>
    <row r="89" spans="3:18" ht="24.75" customHeight="1" x14ac:dyDescent="0.25">
      <c r="C89" s="49"/>
      <c r="D89" s="50"/>
      <c r="E89" s="50"/>
      <c r="F89" s="50"/>
      <c r="G89" s="50"/>
      <c r="H89" s="51"/>
      <c r="I89" s="52"/>
      <c r="J89" s="52"/>
      <c r="K89" s="52"/>
      <c r="L89"/>
      <c r="M89"/>
      <c r="N89"/>
      <c r="P89"/>
      <c r="Q89"/>
      <c r="R89"/>
    </row>
    <row r="90" spans="3:18" ht="24.75" customHeight="1" x14ac:dyDescent="0.25">
      <c r="C90" s="49"/>
      <c r="D90" s="50"/>
      <c r="E90" s="50"/>
      <c r="F90" s="50"/>
      <c r="G90" s="50"/>
      <c r="H90" s="51"/>
      <c r="I90" s="52"/>
      <c r="J90" s="52"/>
      <c r="K90" s="52"/>
      <c r="L90"/>
      <c r="M90"/>
      <c r="N90"/>
      <c r="P90"/>
      <c r="Q90"/>
      <c r="R90"/>
    </row>
    <row r="91" spans="3:18" ht="24.75" customHeight="1" x14ac:dyDescent="0.25">
      <c r="C91" s="49"/>
      <c r="D91" s="50"/>
      <c r="E91" s="50"/>
      <c r="F91" s="50"/>
      <c r="G91" s="50"/>
      <c r="H91" s="51"/>
      <c r="I91" s="52"/>
      <c r="J91" s="52"/>
      <c r="K91" s="52"/>
      <c r="L91"/>
      <c r="M91"/>
      <c r="N91"/>
      <c r="P91"/>
      <c r="Q91"/>
      <c r="R91"/>
    </row>
    <row r="92" spans="3:18" ht="24.75" customHeight="1" x14ac:dyDescent="0.25">
      <c r="C92" s="49"/>
      <c r="D92" s="50"/>
      <c r="E92" s="50"/>
      <c r="F92" s="50"/>
      <c r="G92" s="50"/>
      <c r="H92" s="51"/>
      <c r="I92" s="52"/>
      <c r="J92" s="52"/>
      <c r="K92" s="52"/>
      <c r="L92"/>
      <c r="M92"/>
      <c r="N92"/>
      <c r="P92"/>
      <c r="Q92"/>
      <c r="R92"/>
    </row>
    <row r="93" spans="3:18" ht="24.75" customHeight="1" x14ac:dyDescent="0.25">
      <c r="C93" s="49"/>
      <c r="D93" s="50"/>
      <c r="E93" s="50"/>
      <c r="F93" s="50"/>
      <c r="G93" s="50"/>
      <c r="H93" s="51"/>
      <c r="I93" s="52"/>
      <c r="J93" s="52"/>
      <c r="K93" s="52"/>
      <c r="L93"/>
      <c r="M93"/>
      <c r="N93"/>
      <c r="P93"/>
      <c r="Q93"/>
      <c r="R93"/>
    </row>
    <row r="94" spans="3:18" ht="24.75" customHeight="1" x14ac:dyDescent="0.25">
      <c r="C94" s="49"/>
      <c r="D94" s="50"/>
      <c r="E94" s="50"/>
      <c r="F94" s="50"/>
      <c r="G94" s="50"/>
      <c r="H94" s="51"/>
      <c r="I94" s="52"/>
      <c r="J94" s="52"/>
      <c r="K94" s="52"/>
      <c r="L94"/>
      <c r="M94"/>
      <c r="N94"/>
      <c r="P94"/>
      <c r="Q94"/>
      <c r="R94"/>
    </row>
    <row r="95" spans="3:18" ht="24.75" customHeight="1" x14ac:dyDescent="0.25">
      <c r="C95" s="49"/>
      <c r="D95" s="50"/>
      <c r="E95" s="50"/>
      <c r="F95" s="50"/>
      <c r="G95" s="50"/>
      <c r="H95" s="51"/>
      <c r="I95" s="52"/>
      <c r="J95" s="52"/>
      <c r="K95" s="52"/>
      <c r="L95"/>
      <c r="M95"/>
      <c r="N95"/>
      <c r="P95"/>
      <c r="Q95"/>
      <c r="R95"/>
    </row>
    <row r="96" spans="3:18" ht="24.75" customHeight="1" x14ac:dyDescent="0.25">
      <c r="C96" s="49"/>
      <c r="D96" s="50"/>
      <c r="E96" s="50"/>
      <c r="F96" s="50"/>
      <c r="G96" s="50"/>
      <c r="H96" s="51"/>
      <c r="I96" s="52"/>
      <c r="J96" s="52"/>
      <c r="K96" s="52"/>
      <c r="L96"/>
      <c r="M96"/>
      <c r="N96"/>
      <c r="P96"/>
      <c r="Q96"/>
      <c r="R96"/>
    </row>
    <row r="97" spans="3:18" ht="24.75" customHeight="1" x14ac:dyDescent="0.25">
      <c r="C97" s="49"/>
      <c r="D97" s="50"/>
      <c r="E97" s="50"/>
      <c r="F97" s="50"/>
      <c r="G97" s="50"/>
      <c r="H97" s="51"/>
      <c r="I97" s="52"/>
      <c r="J97" s="52"/>
      <c r="K97" s="52"/>
      <c r="L97"/>
      <c r="M97"/>
      <c r="N97"/>
      <c r="P97"/>
      <c r="Q97"/>
      <c r="R97"/>
    </row>
    <row r="98" spans="3:18" ht="24.75" customHeight="1" x14ac:dyDescent="0.25">
      <c r="C98" s="49"/>
      <c r="D98" s="50"/>
      <c r="E98" s="50"/>
      <c r="F98" s="50"/>
      <c r="G98" s="50"/>
      <c r="H98" s="51"/>
      <c r="I98" s="52"/>
      <c r="J98" s="52"/>
      <c r="K98" s="52"/>
      <c r="L98"/>
      <c r="M98"/>
      <c r="N98"/>
      <c r="P98"/>
      <c r="Q98"/>
      <c r="R98"/>
    </row>
    <row r="99" spans="3:18" ht="24.75" customHeight="1" x14ac:dyDescent="0.25">
      <c r="C99" s="49"/>
      <c r="D99" s="50"/>
      <c r="E99" s="50"/>
      <c r="F99" s="50"/>
      <c r="G99" s="50"/>
      <c r="H99" s="51"/>
      <c r="I99" s="52"/>
      <c r="J99" s="52"/>
      <c r="K99" s="52"/>
      <c r="L99"/>
      <c r="M99"/>
      <c r="N99"/>
      <c r="P99"/>
      <c r="Q99"/>
      <c r="R99"/>
    </row>
    <row r="100" spans="3:18" ht="24.75" customHeight="1" x14ac:dyDescent="0.25">
      <c r="C100" s="49"/>
      <c r="D100" s="50"/>
      <c r="E100" s="50"/>
      <c r="F100" s="50"/>
      <c r="G100" s="50"/>
      <c r="H100" s="51"/>
      <c r="I100" s="52"/>
      <c r="J100" s="52"/>
      <c r="K100" s="52"/>
      <c r="L100"/>
      <c r="M100"/>
      <c r="N100"/>
      <c r="P100"/>
      <c r="Q100"/>
      <c r="R100"/>
    </row>
    <row r="101" spans="3:18" ht="24.75" customHeight="1" x14ac:dyDescent="0.25">
      <c r="C101" s="49"/>
      <c r="D101" s="50"/>
      <c r="E101" s="50"/>
      <c r="F101" s="50"/>
      <c r="G101" s="50"/>
      <c r="H101" s="51"/>
      <c r="I101" s="52"/>
      <c r="J101" s="52"/>
      <c r="K101" s="52"/>
      <c r="L101"/>
      <c r="M101"/>
      <c r="N101"/>
      <c r="P101"/>
      <c r="Q101"/>
      <c r="R101"/>
    </row>
    <row r="102" spans="3:18" ht="24.75" customHeight="1" x14ac:dyDescent="0.25">
      <c r="C102" s="49"/>
      <c r="D102" s="50"/>
      <c r="E102" s="50"/>
      <c r="F102" s="50"/>
      <c r="G102" s="50"/>
      <c r="H102" s="51"/>
      <c r="I102" s="52"/>
      <c r="J102" s="52"/>
      <c r="K102" s="52"/>
      <c r="L102"/>
      <c r="M102"/>
      <c r="N102"/>
      <c r="P102"/>
      <c r="Q102"/>
      <c r="R102"/>
    </row>
    <row r="103" spans="3:18" ht="24.75" customHeight="1" x14ac:dyDescent="0.25">
      <c r="C103" s="49"/>
      <c r="D103" s="50"/>
      <c r="E103" s="50"/>
      <c r="F103" s="50"/>
      <c r="G103" s="50"/>
      <c r="H103" s="51"/>
      <c r="I103" s="52"/>
      <c r="J103" s="52"/>
      <c r="K103" s="52"/>
      <c r="L103"/>
      <c r="M103"/>
      <c r="N103"/>
      <c r="P103"/>
      <c r="Q103"/>
      <c r="R103"/>
    </row>
    <row r="104" spans="3:18" ht="24.75" customHeight="1" x14ac:dyDescent="0.25">
      <c r="C104" s="49"/>
      <c r="D104" s="50"/>
      <c r="E104" s="50"/>
      <c r="F104" s="50"/>
      <c r="G104" s="50"/>
      <c r="H104" s="51"/>
      <c r="I104" s="52"/>
      <c r="J104" s="52"/>
      <c r="K104" s="52"/>
      <c r="L104"/>
      <c r="M104"/>
      <c r="N104"/>
      <c r="P104"/>
      <c r="Q104"/>
      <c r="R104"/>
    </row>
    <row r="105" spans="3:18" ht="24.75" customHeight="1" x14ac:dyDescent="0.25">
      <c r="C105" s="49"/>
      <c r="D105" s="50"/>
      <c r="E105" s="50"/>
      <c r="F105" s="50"/>
      <c r="G105" s="50"/>
      <c r="H105" s="51"/>
      <c r="I105" s="52"/>
      <c r="J105" s="52"/>
      <c r="K105" s="52"/>
      <c r="L105"/>
      <c r="M105"/>
      <c r="N105"/>
      <c r="P105"/>
      <c r="Q105"/>
      <c r="R105"/>
    </row>
    <row r="106" spans="3:18" ht="24.75" customHeight="1" x14ac:dyDescent="0.25">
      <c r="C106" s="49"/>
      <c r="D106" s="50"/>
      <c r="E106" s="50"/>
      <c r="F106" s="50"/>
      <c r="G106" s="50"/>
      <c r="H106" s="51"/>
      <c r="I106" s="52"/>
      <c r="J106" s="52"/>
      <c r="K106" s="52"/>
      <c r="L106"/>
      <c r="M106"/>
      <c r="N106"/>
      <c r="P106"/>
      <c r="Q106"/>
      <c r="R106"/>
    </row>
    <row r="107" spans="3:18" ht="24.75" customHeight="1" x14ac:dyDescent="0.25">
      <c r="C107" s="49"/>
      <c r="D107" s="50"/>
      <c r="E107" s="50"/>
      <c r="F107" s="50"/>
      <c r="G107" s="50"/>
      <c r="H107" s="51"/>
      <c r="I107" s="52"/>
      <c r="J107" s="52"/>
      <c r="K107" s="52"/>
      <c r="L107"/>
      <c r="M107"/>
      <c r="N107"/>
      <c r="P107"/>
      <c r="Q107"/>
      <c r="R107"/>
    </row>
    <row r="108" spans="3:18" ht="24.75" customHeight="1" x14ac:dyDescent="0.25">
      <c r="C108" s="49"/>
      <c r="D108" s="50"/>
      <c r="E108" s="50"/>
      <c r="F108" s="50"/>
      <c r="G108" s="50"/>
      <c r="H108" s="51"/>
      <c r="I108" s="52"/>
      <c r="J108" s="52"/>
      <c r="K108" s="52"/>
      <c r="L108"/>
      <c r="M108"/>
      <c r="N108"/>
      <c r="P108"/>
      <c r="Q108"/>
      <c r="R108"/>
    </row>
    <row r="109" spans="3:18" ht="24.75" customHeight="1" x14ac:dyDescent="0.25">
      <c r="C109" s="49"/>
      <c r="D109" s="50"/>
      <c r="E109" s="50"/>
      <c r="F109" s="50"/>
      <c r="G109" s="50"/>
      <c r="H109" s="51"/>
      <c r="I109" s="52"/>
      <c r="J109" s="52"/>
      <c r="K109" s="52"/>
      <c r="L109"/>
      <c r="M109"/>
      <c r="N109"/>
      <c r="P109"/>
      <c r="Q109"/>
      <c r="R109"/>
    </row>
    <row r="110" spans="3:18" ht="24.75" customHeight="1" x14ac:dyDescent="0.25">
      <c r="C110" s="49"/>
      <c r="D110" s="50"/>
      <c r="E110" s="50"/>
      <c r="F110" s="50"/>
      <c r="G110" s="50"/>
      <c r="H110" s="51"/>
      <c r="I110" s="52"/>
      <c r="J110" s="52"/>
      <c r="K110" s="52"/>
      <c r="L110"/>
      <c r="M110"/>
      <c r="N110"/>
      <c r="P110"/>
      <c r="Q110"/>
      <c r="R110"/>
    </row>
    <row r="111" spans="3:18" ht="24.75" customHeight="1" x14ac:dyDescent="0.25">
      <c r="C111" s="49"/>
      <c r="D111" s="50"/>
      <c r="E111" s="50"/>
      <c r="F111" s="50"/>
      <c r="G111" s="50"/>
      <c r="H111" s="51"/>
      <c r="I111" s="52"/>
      <c r="J111" s="52"/>
      <c r="K111" s="52"/>
      <c r="L111"/>
      <c r="M111"/>
      <c r="N111"/>
      <c r="P111"/>
      <c r="Q111"/>
      <c r="R111"/>
    </row>
    <row r="112" spans="3:18" ht="24.75" customHeight="1" x14ac:dyDescent="0.25">
      <c r="C112" s="49"/>
      <c r="D112" s="50"/>
      <c r="E112" s="50"/>
      <c r="F112" s="50"/>
      <c r="G112" s="50"/>
      <c r="H112" s="51"/>
      <c r="I112" s="52"/>
      <c r="J112" s="52"/>
      <c r="K112" s="52"/>
      <c r="L112"/>
      <c r="M112"/>
      <c r="N112"/>
      <c r="P112"/>
      <c r="Q112"/>
      <c r="R112"/>
    </row>
    <row r="113" spans="3:18" ht="24.75" customHeight="1" x14ac:dyDescent="0.25">
      <c r="C113" s="49"/>
      <c r="D113" s="50"/>
      <c r="E113" s="50"/>
      <c r="F113" s="50"/>
      <c r="G113" s="50"/>
      <c r="H113" s="51"/>
      <c r="I113" s="52"/>
      <c r="J113" s="52"/>
      <c r="K113" s="52"/>
      <c r="L113"/>
      <c r="M113"/>
      <c r="N113"/>
      <c r="P113"/>
      <c r="Q113"/>
      <c r="R113"/>
    </row>
    <row r="114" spans="3:18" ht="24.75" customHeight="1" x14ac:dyDescent="0.25">
      <c r="C114" s="49"/>
      <c r="D114" s="50"/>
      <c r="E114" s="50"/>
      <c r="F114" s="50"/>
      <c r="G114" s="50"/>
      <c r="H114" s="51"/>
      <c r="I114" s="52"/>
      <c r="J114" s="52"/>
      <c r="K114" s="52"/>
      <c r="L114"/>
      <c r="M114"/>
      <c r="N114"/>
      <c r="P114"/>
      <c r="Q114"/>
      <c r="R114"/>
    </row>
  </sheetData>
  <sheetProtection password="EFEB" sheet="1" objects="1" scenarios="1"/>
  <mergeCells count="6">
    <mergeCell ref="B2:R2"/>
    <mergeCell ref="I4:K4"/>
    <mergeCell ref="D34:J34"/>
    <mergeCell ref="D36:J36"/>
    <mergeCell ref="L3:N3"/>
    <mergeCell ref="P3:R3"/>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Resumo Planilha</vt:lpstr>
      <vt:lpstr>JAN-18</vt:lpstr>
      <vt:lpstr>FEV-18</vt:lpstr>
      <vt:lpstr>MAR-18</vt:lpstr>
      <vt:lpstr>ABR-18</vt:lpstr>
      <vt:lpstr>MAI-18</vt:lpstr>
      <vt:lpstr>JUN-18</vt:lpstr>
      <vt:lpstr>JUL-18</vt:lpstr>
      <vt:lpstr>AGO-18</vt:lpstr>
      <vt:lpstr>SET-18</vt:lpstr>
      <vt:lpstr>OUT-18</vt:lpstr>
      <vt:lpstr>NOV-18</vt:lpstr>
      <vt:lpstr>DEZ-18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2019-04-02T13:31:11Z</dcterms:modified>
</cp:coreProperties>
</file>