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4395" windowWidth="19815" windowHeight="8895"/>
  </bookViews>
  <sheets>
    <sheet name="RESUMO GERAL" sheetId="1" r:id="rId1"/>
    <sheet name="JAN-21" sheetId="2" r:id="rId2"/>
    <sheet name="FEV-21" sheetId="3" r:id="rId3"/>
    <sheet name="MAR-21" sheetId="4" r:id="rId4"/>
    <sheet name="ABR-21" sheetId="5" r:id="rId5"/>
    <sheet name="MAI-21" sheetId="6" r:id="rId6"/>
    <sheet name="JUN-21" sheetId="7" r:id="rId7"/>
    <sheet name="JUL-21" sheetId="8" r:id="rId8"/>
    <sheet name="AGO-21" sheetId="9" r:id="rId9"/>
    <sheet name="SET-21" sheetId="10" r:id="rId10"/>
    <sheet name="OUT-21" sheetId="11" r:id="rId11"/>
    <sheet name="NOV-21" sheetId="12" r:id="rId12"/>
    <sheet name="DEZ-21" sheetId="13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P12" i="11" l="1"/>
  <c r="P11" i="11"/>
  <c r="P10" i="11"/>
  <c r="P9" i="11"/>
  <c r="P8" i="11"/>
  <c r="P5" i="11"/>
  <c r="R11" i="8"/>
  <c r="R10" i="8"/>
  <c r="R9" i="8"/>
  <c r="R8" i="8"/>
  <c r="R7" i="8"/>
  <c r="R6" i="8"/>
  <c r="R5" i="8"/>
  <c r="R4" i="8"/>
  <c r="P7" i="10" l="1"/>
  <c r="R13" i="11" l="1"/>
  <c r="P8" i="10"/>
  <c r="R5" i="12" l="1"/>
  <c r="P13" i="10" l="1"/>
  <c r="P12" i="10" l="1"/>
  <c r="P6" i="10"/>
  <c r="P11" i="10"/>
  <c r="P13" i="9"/>
  <c r="R6" i="12" l="1"/>
  <c r="Q6" i="12"/>
  <c r="R12" i="11"/>
  <c r="R10" i="11"/>
  <c r="R9" i="11"/>
  <c r="R8" i="11"/>
  <c r="R14" i="9"/>
  <c r="R13" i="9"/>
  <c r="R12" i="9"/>
  <c r="R11" i="9"/>
  <c r="R10" i="9"/>
  <c r="R9" i="9"/>
  <c r="R8" i="9"/>
  <c r="R6" i="9"/>
  <c r="R5" i="9"/>
  <c r="R14" i="11" l="1"/>
  <c r="R13" i="10"/>
  <c r="R12" i="10"/>
  <c r="R11" i="10"/>
  <c r="R10" i="10"/>
  <c r="R9" i="10"/>
  <c r="R8" i="10"/>
  <c r="R7" i="10"/>
  <c r="R5" i="10"/>
  <c r="H15" i="1" l="1"/>
  <c r="F15" i="1"/>
  <c r="Q13" i="11"/>
  <c r="Q12" i="11"/>
  <c r="Q10" i="11"/>
  <c r="Q9" i="11"/>
  <c r="Q8" i="11"/>
  <c r="H7" i="11"/>
  <c r="H8" i="11"/>
  <c r="H9" i="11"/>
  <c r="H10" i="11"/>
  <c r="H11" i="11"/>
  <c r="H12" i="11"/>
  <c r="H13" i="11"/>
  <c r="H6" i="11"/>
  <c r="H5" i="11"/>
  <c r="S12" i="11"/>
  <c r="O14" i="11"/>
  <c r="N14" i="11"/>
  <c r="E15" i="1" s="1"/>
  <c r="M14" i="11"/>
  <c r="D15" i="1" s="1"/>
  <c r="S13" i="11"/>
  <c r="S11" i="11"/>
  <c r="Q14" i="11"/>
  <c r="S9" i="11"/>
  <c r="S8" i="11"/>
  <c r="S7" i="11"/>
  <c r="S6" i="11"/>
  <c r="P10" i="10"/>
  <c r="P9" i="10"/>
  <c r="P5" i="10"/>
  <c r="P10" i="8"/>
  <c r="P9" i="8"/>
  <c r="P6" i="8"/>
  <c r="P14" i="9"/>
  <c r="P12" i="9"/>
  <c r="P10" i="9"/>
  <c r="P8" i="9"/>
  <c r="P6" i="9"/>
  <c r="P5" i="9"/>
  <c r="S5" i="11" l="1"/>
  <c r="S10" i="11"/>
  <c r="P14" i="11"/>
  <c r="Q12" i="10"/>
  <c r="S12" i="10" s="1"/>
  <c r="Q11" i="10"/>
  <c r="Q10" i="10"/>
  <c r="H6" i="10"/>
  <c r="H7" i="10"/>
  <c r="H8" i="10"/>
  <c r="H9" i="10"/>
  <c r="H10" i="10"/>
  <c r="H11" i="10"/>
  <c r="S6" i="10"/>
  <c r="S7" i="10"/>
  <c r="S8" i="10"/>
  <c r="S9" i="10"/>
  <c r="S10" i="10"/>
  <c r="S11" i="10"/>
  <c r="Q14" i="9"/>
  <c r="Q13" i="9"/>
  <c r="Q11" i="9"/>
  <c r="Q10" i="9"/>
  <c r="Q9" i="9"/>
  <c r="S9" i="9" s="1"/>
  <c r="Q7" i="9"/>
  <c r="S14" i="9"/>
  <c r="H14" i="9"/>
  <c r="H5" i="9"/>
  <c r="H6" i="9"/>
  <c r="H7" i="9"/>
  <c r="H8" i="9"/>
  <c r="H9" i="9"/>
  <c r="H10" i="9"/>
  <c r="H11" i="9"/>
  <c r="H12" i="9"/>
  <c r="H13" i="9"/>
  <c r="H15" i="9"/>
  <c r="S6" i="9"/>
  <c r="S7" i="9"/>
  <c r="S8" i="9"/>
  <c r="S10" i="9"/>
  <c r="S11" i="9"/>
  <c r="S12" i="9"/>
  <c r="S13" i="9"/>
  <c r="S15" i="9"/>
  <c r="Q11" i="8"/>
  <c r="Q6" i="8"/>
  <c r="Q5" i="8"/>
  <c r="S5" i="8" s="1"/>
  <c r="Q4" i="8"/>
  <c r="H5" i="8"/>
  <c r="H6" i="8"/>
  <c r="H7" i="8"/>
  <c r="H8" i="8"/>
  <c r="H9" i="8"/>
  <c r="S6" i="8"/>
  <c r="S7" i="8"/>
  <c r="S8" i="8"/>
  <c r="S9" i="8"/>
  <c r="S10" i="8"/>
  <c r="S11" i="8"/>
  <c r="M6" i="5"/>
  <c r="M5" i="5"/>
  <c r="R9" i="5"/>
  <c r="R7" i="5"/>
  <c r="R6" i="5"/>
  <c r="R5" i="5"/>
  <c r="S7" i="5"/>
  <c r="Q7" i="5"/>
  <c r="H7" i="5"/>
  <c r="H5" i="2"/>
  <c r="H6" i="2"/>
  <c r="H7" i="2"/>
  <c r="P15" i="11" l="1"/>
  <c r="S14" i="11" s="1"/>
  <c r="R9" i="13"/>
  <c r="Q9" i="13"/>
  <c r="P9" i="13"/>
  <c r="P10" i="13" s="1"/>
  <c r="O9" i="13"/>
  <c r="N9" i="13"/>
  <c r="M9" i="13"/>
  <c r="S8" i="13"/>
  <c r="H8" i="13"/>
  <c r="S7" i="13"/>
  <c r="S6" i="13"/>
  <c r="H6" i="13"/>
  <c r="S5" i="13"/>
  <c r="H5" i="13"/>
  <c r="R8" i="12"/>
  <c r="Q8" i="12"/>
  <c r="H16" i="1" s="1"/>
  <c r="P8" i="12"/>
  <c r="O8" i="12"/>
  <c r="N8" i="12"/>
  <c r="M8" i="12"/>
  <c r="S7" i="12"/>
  <c r="H7" i="12"/>
  <c r="S6" i="12"/>
  <c r="H6" i="12"/>
  <c r="S5" i="12"/>
  <c r="H5" i="12"/>
  <c r="R14" i="10"/>
  <c r="I14" i="1" s="1"/>
  <c r="Q14" i="10"/>
  <c r="P14" i="10"/>
  <c r="O14" i="10"/>
  <c r="N14" i="10"/>
  <c r="M14" i="10"/>
  <c r="S13" i="10"/>
  <c r="H13" i="10"/>
  <c r="H12" i="10"/>
  <c r="S5" i="10"/>
  <c r="H5" i="10"/>
  <c r="R16" i="9"/>
  <c r="I13" i="1" s="1"/>
  <c r="Q16" i="9"/>
  <c r="P16" i="9"/>
  <c r="P17" i="9" s="1"/>
  <c r="O16" i="9"/>
  <c r="N16" i="9"/>
  <c r="E13" i="1" s="1"/>
  <c r="M16" i="9"/>
  <c r="S5" i="9"/>
  <c r="R13" i="8"/>
  <c r="I12" i="1" s="1"/>
  <c r="Q13" i="8"/>
  <c r="H12" i="1" s="1"/>
  <c r="P13" i="8"/>
  <c r="O13" i="8"/>
  <c r="F12" i="1" s="1"/>
  <c r="N13" i="8"/>
  <c r="E12" i="1" s="1"/>
  <c r="M13" i="8"/>
  <c r="D12" i="1" s="1"/>
  <c r="H11" i="8"/>
  <c r="H10" i="8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8" i="6"/>
  <c r="O8" i="6"/>
  <c r="N8" i="6"/>
  <c r="M8" i="6"/>
  <c r="S6" i="6"/>
  <c r="H6" i="6"/>
  <c r="S5" i="6"/>
  <c r="H5" i="6"/>
  <c r="R8" i="6"/>
  <c r="I10" i="1" s="1"/>
  <c r="Q8" i="6"/>
  <c r="H4" i="6"/>
  <c r="R11" i="5"/>
  <c r="Q11" i="5"/>
  <c r="P11" i="5"/>
  <c r="P12" i="5" s="1"/>
  <c r="O11" i="5"/>
  <c r="N11" i="5"/>
  <c r="M11" i="5"/>
  <c r="S9" i="5"/>
  <c r="H9" i="5"/>
  <c r="S8" i="5"/>
  <c r="H8" i="5"/>
  <c r="S6" i="5"/>
  <c r="H6" i="5"/>
  <c r="S5" i="5"/>
  <c r="H5" i="5"/>
  <c r="P9" i="4"/>
  <c r="P10" i="4" s="1"/>
  <c r="O9" i="4"/>
  <c r="N9" i="4"/>
  <c r="E8" i="1" s="1"/>
  <c r="M9" i="4"/>
  <c r="R9" i="4"/>
  <c r="I8" i="1" s="1"/>
  <c r="S7" i="4"/>
  <c r="S6" i="4"/>
  <c r="S5" i="4"/>
  <c r="Q9" i="4"/>
  <c r="H8" i="1" s="1"/>
  <c r="P8" i="3"/>
  <c r="P9" i="3" s="1"/>
  <c r="O8" i="3"/>
  <c r="F7" i="1" s="1"/>
  <c r="N8" i="3"/>
  <c r="M8" i="3"/>
  <c r="D7" i="1" s="1"/>
  <c r="R8" i="3"/>
  <c r="I7" i="1" s="1"/>
  <c r="Q8" i="3"/>
  <c r="H7" i="1" s="1"/>
  <c r="S7" i="3"/>
  <c r="S6" i="3"/>
  <c r="S5" i="3"/>
  <c r="P9" i="2"/>
  <c r="P10" i="2" s="1"/>
  <c r="O9" i="2"/>
  <c r="N9" i="2"/>
  <c r="E6" i="1" s="1"/>
  <c r="M9" i="2"/>
  <c r="Q9" i="2"/>
  <c r="H6" i="1" s="1"/>
  <c r="S7" i="2"/>
  <c r="S6" i="2"/>
  <c r="S5" i="2"/>
  <c r="R9" i="2"/>
  <c r="I6" i="1" s="1"/>
  <c r="I17" i="1"/>
  <c r="H17" i="1"/>
  <c r="F17" i="1"/>
  <c r="E17" i="1"/>
  <c r="D17" i="1"/>
  <c r="I16" i="1"/>
  <c r="F16" i="1"/>
  <c r="E16" i="1"/>
  <c r="D16" i="1"/>
  <c r="H14" i="1"/>
  <c r="F14" i="1"/>
  <c r="E14" i="1"/>
  <c r="D14" i="1"/>
  <c r="H13" i="1"/>
  <c r="F13" i="1"/>
  <c r="D13" i="1"/>
  <c r="I11" i="1"/>
  <c r="H11" i="1"/>
  <c r="F11" i="1"/>
  <c r="E11" i="1"/>
  <c r="D11" i="1"/>
  <c r="H10" i="1"/>
  <c r="F10" i="1"/>
  <c r="E10" i="1"/>
  <c r="D10" i="1"/>
  <c r="I9" i="1"/>
  <c r="H9" i="1"/>
  <c r="F9" i="1"/>
  <c r="E9" i="1"/>
  <c r="D9" i="1"/>
  <c r="F8" i="1"/>
  <c r="D8" i="1"/>
  <c r="E7" i="1"/>
  <c r="F6" i="1"/>
  <c r="D6" i="1"/>
  <c r="P16" i="11" l="1"/>
  <c r="G15" i="1" s="1"/>
  <c r="S16" i="9"/>
  <c r="S11" i="5"/>
  <c r="E19" i="1"/>
  <c r="D19" i="1"/>
  <c r="F19" i="1"/>
  <c r="H19" i="1"/>
  <c r="P11" i="4"/>
  <c r="G8" i="1" s="1"/>
  <c r="J8" i="1" s="1"/>
  <c r="S9" i="4"/>
  <c r="S9" i="2"/>
  <c r="P10" i="12"/>
  <c r="G16" i="1" s="1"/>
  <c r="J16" i="1" s="1"/>
  <c r="P11" i="13"/>
  <c r="G17" i="1" s="1"/>
  <c r="J17" i="1" s="1"/>
  <c r="L17" i="1" s="1"/>
  <c r="S9" i="13"/>
  <c r="P11" i="2"/>
  <c r="G6" i="1" s="1"/>
  <c r="S8" i="3"/>
  <c r="P10" i="3"/>
  <c r="G7" i="1" s="1"/>
  <c r="J7" i="1" s="1"/>
  <c r="P13" i="5"/>
  <c r="G9" i="1" s="1"/>
  <c r="J9" i="1" s="1"/>
  <c r="L9" i="1" s="1"/>
  <c r="S4" i="6"/>
  <c r="P9" i="6"/>
  <c r="P10" i="6" s="1"/>
  <c r="G10" i="1" s="1"/>
  <c r="J10" i="1" s="1"/>
  <c r="P10" i="7"/>
  <c r="G11" i="1" s="1"/>
  <c r="J11" i="1" s="1"/>
  <c r="L11" i="1" s="1"/>
  <c r="P14" i="8"/>
  <c r="S13" i="8" s="1"/>
  <c r="P18" i="9"/>
  <c r="G13" i="1" s="1"/>
  <c r="J13" i="1" s="1"/>
  <c r="P15" i="10"/>
  <c r="S14" i="10" s="1"/>
  <c r="P9" i="12"/>
  <c r="S8" i="12" s="1"/>
  <c r="L16" i="1" l="1"/>
  <c r="P16" i="10"/>
  <c r="G14" i="1" s="1"/>
  <c r="J14" i="1" s="1"/>
  <c r="L14" i="1" s="1"/>
  <c r="L13" i="1"/>
  <c r="P15" i="8"/>
  <c r="G12" i="1" s="1"/>
  <c r="J12" i="1" s="1"/>
  <c r="L12" i="1" s="1"/>
  <c r="L8" i="1"/>
  <c r="L7" i="1"/>
  <c r="R19" i="9"/>
  <c r="S19" i="9" s="1"/>
  <c r="R11" i="7"/>
  <c r="S11" i="7" s="1"/>
  <c r="S11" i="12"/>
  <c r="S8" i="6"/>
  <c r="L10" i="1" s="1"/>
  <c r="S12" i="13"/>
  <c r="R11" i="12"/>
  <c r="R16" i="8"/>
  <c r="S16" i="8" s="1"/>
  <c r="R11" i="6"/>
  <c r="R12" i="13"/>
  <c r="R12" i="4"/>
  <c r="S12" i="4" s="1"/>
  <c r="R11" i="3"/>
  <c r="R12" i="2"/>
  <c r="S12" i="2" s="1"/>
  <c r="J6" i="1"/>
  <c r="L6" i="1" s="1"/>
  <c r="S11" i="3"/>
  <c r="R14" i="5"/>
  <c r="S14" i="5" s="1"/>
  <c r="R17" i="10" l="1"/>
  <c r="S17" i="10" s="1"/>
  <c r="G19" i="1"/>
  <c r="S11" i="6"/>
  <c r="R17" i="11"/>
  <c r="S17" i="11" s="1"/>
  <c r="I15" i="1"/>
  <c r="J15" i="1" s="1"/>
  <c r="L15" i="1" s="1"/>
  <c r="I19" i="1" l="1"/>
  <c r="I22" i="1" s="1"/>
  <c r="J25" i="1" s="1"/>
</calcChain>
</file>

<file path=xl/sharedStrings.xml><?xml version="1.0" encoding="utf-8"?>
<sst xmlns="http://schemas.openxmlformats.org/spreadsheetml/2006/main" count="649" uniqueCount="188">
  <si>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</si>
  <si>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</si>
  <si>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</si>
  <si>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</si>
  <si>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</si>
  <si>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</si>
  <si>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</si>
  <si>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</si>
  <si>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</si>
  <si>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</si>
  <si>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</si>
  <si>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</si>
  <si>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FECHADO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</si>
  <si>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</si>
  <si>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</si>
  <si>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</si>
  <si>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</si>
  <si>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</si>
  <si>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</si>
  <si>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</si>
  <si>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</si>
  <si>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</si>
  <si>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</si>
  <si>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</si>
  <si>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</si>
  <si>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</si>
  <si>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</si>
  <si>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</si>
  <si>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</si>
  <si>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</si>
  <si>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</si>
  <si>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</si>
  <si>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</si>
  <si>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</si>
  <si>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</si>
  <si>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</si>
  <si>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</si>
  <si>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</si>
  <si>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</si>
  <si>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</si>
  <si>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</si>
  <si>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</si>
  <si>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</si>
  <si>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</si>
  <si>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</si>
  <si>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</si>
  <si>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VALTER FERREIRA DA SILVA</t>
  </si>
  <si>
    <t>POA X SP X POA</t>
  </si>
  <si>
    <t>AMÁLIA DE FÁTIMA LUCENA</t>
  </si>
  <si>
    <t>POA X BSB X POA</t>
  </si>
  <si>
    <t>AGUARDANDO DOCUMENTOS DE COBRANÇA</t>
  </si>
  <si>
    <t>conferência</t>
  </si>
  <si>
    <t>Tx. Adm. Contrato</t>
  </si>
  <si>
    <t>POA X RJ X POA</t>
  </si>
  <si>
    <t>SEM VIAGENS PERÍODO</t>
  </si>
  <si>
    <r>
      <t xml:space="preserve">SIC -  </t>
    </r>
    <r>
      <rPr>
        <sz val="14"/>
        <color rgb="FF000000"/>
        <rFont val="Arial"/>
      </rPr>
      <t>RESUMO DAS DESPESAS COM VIAGENS - 2021</t>
    </r>
  </si>
  <si>
    <r>
      <t xml:space="preserve">SIC -  </t>
    </r>
    <r>
      <rPr>
        <sz val="14"/>
        <color rgb="FF000000"/>
        <rFont val="Arial"/>
      </rPr>
      <t>RELAÇÃO DE VIAGENS  - MARÇO 2021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</si>
  <si>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FEVEREIRO 2021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</si>
  <si>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ABRIL 2021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</si>
  <si>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MAIO 2021</t>
    </r>
  </si>
  <si>
    <r>
      <t xml:space="preserve">SIC -  </t>
    </r>
    <r>
      <rPr>
        <sz val="14"/>
        <color rgb="FF000000"/>
        <rFont val="Arial"/>
      </rPr>
      <t>RELAÇÃO DE VIAGENS  - JUNHO 2021</t>
    </r>
  </si>
  <si>
    <r>
      <t xml:space="preserve">SIC - </t>
    </r>
    <r>
      <rPr>
        <sz val="14"/>
        <color rgb="FF000000"/>
        <rFont val="Arial"/>
      </rPr>
      <t>RELAÇÃO DE VIAGENS  - JULHO 2021</t>
    </r>
    <r>
      <rPr>
        <b/>
        <sz val="14"/>
        <color rgb="FF000000"/>
        <rFont val="Arial"/>
      </rPr>
      <t xml:space="preserve"> </t>
    </r>
  </si>
  <si>
    <t>SEM VIAGENS NO PERÍODO</t>
  </si>
  <si>
    <r>
      <t xml:space="preserve">SIC -  </t>
    </r>
    <r>
      <rPr>
        <sz val="14"/>
        <color rgb="FF000000"/>
        <rFont val="Arial"/>
      </rPr>
      <t>RELAÇÃO DE VIAGENS  - AGOSTO 2021</t>
    </r>
  </si>
  <si>
    <r>
      <t xml:space="preserve"> SIC - </t>
    </r>
    <r>
      <rPr>
        <sz val="14"/>
        <color rgb="FF000000"/>
        <rFont val="Arial"/>
      </rPr>
      <t>RELAÇÃO DE VIAGENS  - SETEMBRO 2021</t>
    </r>
  </si>
  <si>
    <r>
      <t xml:space="preserve"> SIC - </t>
    </r>
    <r>
      <rPr>
        <sz val="14"/>
        <color rgb="FF000000"/>
        <rFont val="Arial"/>
      </rPr>
      <t>RELAÇÃO DE VIAGENS  - OUTUBRO 2021</t>
    </r>
  </si>
  <si>
    <r>
      <t xml:space="preserve"> SIC - </t>
    </r>
    <r>
      <rPr>
        <sz val="14"/>
        <color rgb="FF000000"/>
        <rFont val="Arial"/>
      </rPr>
      <t>RELAÇÃO DE VIAGENS  - NOVEMBRO 2021</t>
    </r>
  </si>
  <si>
    <r>
      <t xml:space="preserve"> SIC - </t>
    </r>
    <r>
      <rPr>
        <sz val="14"/>
        <color rgb="FF000000"/>
        <rFont val="Arial"/>
      </rPr>
      <t>RELAÇÃO DE VIAGENS  - DEZEMBRO 2021</t>
    </r>
  </si>
  <si>
    <t>23092.004032/2021-31</t>
  </si>
  <si>
    <t>23092.004038/2021-16</t>
  </si>
  <si>
    <t>23092.004041/2021-21</t>
  </si>
  <si>
    <t>23092.004046/2021-54</t>
  </si>
  <si>
    <t>23092.004177/2021-31</t>
  </si>
  <si>
    <t>COORD DE GESTÃO TECNOL INFORMAÇÃO</t>
  </si>
  <si>
    <t>Reuniões presenciais e visitas de diagnóstico realizadas em conjunto representantes do Ministério da Saúde para planejamento da implantação do AGHUse nos Hospitais e Institutos daquele Ministério,</t>
  </si>
  <si>
    <t xml:space="preserve">RENATO FALSARELLA MARTINS  MALVEZZI </t>
  </si>
  <si>
    <t>CHEFE DO SERVIÇO DE GESTÃO DE TECNOLOGIA.</t>
  </si>
  <si>
    <t>PROFESSOR DE ENFERMAGEM.</t>
  </si>
  <si>
    <t>ELENITA TERESINHA CHARAO CHAGAS.</t>
  </si>
  <si>
    <t>CHEFE DO SERVIÇO ADM DE ATENÇÃO CIRÚRGICA.</t>
  </si>
  <si>
    <t>GIOVANI SOUZA SILVEIRA</t>
  </si>
  <si>
    <t>CHEFE DA SEÇÃO ADM DE AMBUL., UBS, CAPS E SMO.</t>
  </si>
  <si>
    <t>23092.007491/2021-76</t>
  </si>
  <si>
    <t> 23092.007437/2021-21</t>
  </si>
  <si>
    <t> 23092.007472/2021-40</t>
  </si>
  <si>
    <t>23092.007445/2021-77</t>
  </si>
  <si>
    <t> 23092.007463/2021-59</t>
  </si>
  <si>
    <t>23092.007476/2021-28</t>
  </si>
  <si>
    <t> 23092.007474/2021-39</t>
  </si>
  <si>
    <t> 23092.007484/2021-74</t>
  </si>
  <si>
    <t>FLAVIO PECHANSKY</t>
  </si>
  <si>
    <t>PROFESSOR PRECEPTOR - PSIQUIATRIA.</t>
  </si>
  <si>
    <t xml:space="preserve"> Realização de Piloto do Projeto Drogômetros - Treinamento teórico e prático com a PRF</t>
  </si>
  <si>
    <t>MAILTON FRANÇA VASCONCELOS</t>
  </si>
  <si>
    <t>PESQUISADOR</t>
  </si>
  <si>
    <t>BRUNO PEREIRA DOS SANTOS</t>
  </si>
  <si>
    <t>PATRÌCIA PACHECO VIOLA</t>
  </si>
  <si>
    <t>CAROLINA SILVEIRA DALANHOL</t>
  </si>
  <si>
    <t>GIOVANNA CRISTIANO DE GOUVEIA</t>
  </si>
  <si>
    <t>GABRIELA RAMOS BORGES</t>
  </si>
  <si>
    <t>JULIANA N. SCHERER</t>
  </si>
  <si>
    <t>23092008058/2021-58</t>
  </si>
  <si>
    <t>23092008416/2021-22</t>
  </si>
  <si>
    <t>23092008418/2021-11</t>
  </si>
  <si>
    <t>23092008437/2021-48</t>
  </si>
  <si>
    <t>23092008438/2021-92</t>
  </si>
  <si>
    <t>23092008440/2021-61</t>
  </si>
  <si>
    <t>23092008441/2021-14</t>
  </si>
  <si>
    <t>23092008435/2021-59</t>
  </si>
  <si>
    <t>23092008436/2021-01</t>
  </si>
  <si>
    <t>23092.008218/2021-69</t>
  </si>
  <si>
    <t>PESQUISADOR -PROJETO DROGÔMETRO</t>
  </si>
  <si>
    <t>BRASIL SILVA NETO</t>
  </si>
  <si>
    <t>ASSESSOR MÉDICO ADJUNTO - PROFESSOR.</t>
  </si>
  <si>
    <t>Participação no II Workshop do Projeto Apoio à Retomada dos Hospitais PÓS-COVID-19 (REAB pós-COVID-19) – PROADI-SUS a convite do Hospital Sírio-Libanês</t>
  </si>
  <si>
    <t>POA X CURITIBA X POA</t>
  </si>
  <si>
    <t>POA X CAMPO GRANDE X POA</t>
  </si>
  <si>
    <t>POA X GOIANIA X POA</t>
  </si>
  <si>
    <t>POA X FLORIANOPOLIS X POA</t>
  </si>
  <si>
    <t>POA X BELO HORIZONTE X POA</t>
  </si>
  <si>
    <t>POA X SALVADOR X POA</t>
  </si>
  <si>
    <t>POA X OSÓRIO X POA</t>
  </si>
  <si>
    <t>POA X SPX POA</t>
  </si>
  <si>
    <t>23092.008414/2021-33</t>
  </si>
  <si>
    <t>23092.010171/2021-01</t>
  </si>
  <si>
    <t>23092.010119/2021-47</t>
  </si>
  <si>
    <t>23092.010141/2021-97</t>
  </si>
  <si>
    <t>23092.010113/2021-70</t>
  </si>
  <si>
    <t>23092.010116/2021-11</t>
  </si>
  <si>
    <t>23092.010081/2021-11</t>
  </si>
  <si>
    <t>23092.010086/2021-35</t>
  </si>
  <si>
    <t>23092.010122/2021-61</t>
  </si>
  <si>
    <t>23092.010146/2021-10</t>
  </si>
  <si>
    <t>POA  X BH X POA</t>
  </si>
  <si>
    <t>POA X FLORIANÓPOLIS X POA</t>
  </si>
  <si>
    <t>POA X GOIÂNIA X POA</t>
  </si>
  <si>
    <t>Set/Out</t>
  </si>
  <si>
    <t>23092.010668/2021-11</t>
  </si>
  <si>
    <t>23092.010479/2021-49</t>
  </si>
  <si>
    <t>23092.010480/2021-73</t>
  </si>
  <si>
    <t>23092.011299/2021-84</t>
  </si>
  <si>
    <t>23092.011582/2021-14</t>
  </si>
  <si>
    <t>23092.011588/2021-83</t>
  </si>
  <si>
    <t>23092.011589/2021-28</t>
  </si>
  <si>
    <t>23092.011584/2021-03</t>
  </si>
  <si>
    <t>23092.011592/2021-41</t>
  </si>
  <si>
    <t>BRUNA GOVONI</t>
  </si>
  <si>
    <t>RAISSA SILVA DE MELLO</t>
  </si>
  <si>
    <t>MAILTON FRANÇA DE VASCONCELOS</t>
  </si>
  <si>
    <t>CQ2 - Realização de Piloto do Projeto Drogômetros - Treinamento teórico e prático com a PRF</t>
  </si>
  <si>
    <t>PESQUISADOR SEM REMUNERAÇÃO</t>
  </si>
  <si>
    <t xml:space="preserve"> CQ3 - Realização de Piloto do Projeto Drogômetros - Treinamento teórico e prático com a PRF</t>
  </si>
  <si>
    <t>POA X CURITIBA X MATO GROSSO X POA</t>
  </si>
  <si>
    <t>POA  X BH X SP X POA</t>
  </si>
  <si>
    <t>POA X GOI  X FLOR. X POA</t>
  </si>
  <si>
    <t>POA X OSORIO X SALVADOR X POA</t>
  </si>
  <si>
    <t>POA X BSB X RJ X POA</t>
  </si>
  <si>
    <t>POA X GOI X RJ X POA</t>
  </si>
  <si>
    <t>23092.011763/2021-32</t>
  </si>
  <si>
    <t>23092.013444/2021-61</t>
  </si>
  <si>
    <t>CAROLINE PAULA MESCKA</t>
  </si>
  <si>
    <t>FARMACÊUTICO-BIOQUÍMICO DA GENÉTICA I.</t>
  </si>
  <si>
    <t>JORGE LUIS BAJERSKI</t>
  </si>
  <si>
    <t>DIRETOR ADMINISTRATIVO</t>
  </si>
  <si>
    <t>Capacitação em análise de cromossomos humanos por bandamento G</t>
  </si>
  <si>
    <t>Participação da Solenidade do Prêmio IG-SEST no Ministério da Economia/Brasília</t>
  </si>
  <si>
    <t>POA X CAMPINAS X POA</t>
  </si>
  <si>
    <t>Nov/Dez</t>
  </si>
  <si>
    <r>
      <t xml:space="preserve">SIC -  </t>
    </r>
    <r>
      <rPr>
        <sz val="14"/>
        <color rgb="FF000000"/>
        <rFont val="Arial"/>
      </rPr>
      <t>RELAÇÃO DE VIAGENS  - JANEIRO 2021</t>
    </r>
  </si>
  <si>
    <t>OK</t>
  </si>
  <si>
    <t>***.410.628-**</t>
  </si>
  <si>
    <t>***.392.480-**</t>
  </si>
  <si>
    <t>***.802.500-**</t>
  </si>
  <si>
    <t>***.795.370-**</t>
  </si>
  <si>
    <t> ***.017.000-**</t>
  </si>
  <si>
    <t>***.207.310-**</t>
  </si>
  <si>
    <t>***.653.204-**</t>
  </si>
  <si>
    <t>***.021.360-**</t>
  </si>
  <si>
    <t>***.715.550-**</t>
  </si>
  <si>
    <t>***.080.980-**</t>
  </si>
  <si>
    <t>***.773.028-**</t>
  </si>
  <si>
    <t>***.986.720-**</t>
  </si>
  <si>
    <t>***.178.920-**</t>
  </si>
  <si>
    <t>***.446.580-**</t>
  </si>
  <si>
    <t>***.077.640-**</t>
  </si>
  <si>
    <t>***.369.510-**</t>
  </si>
  <si>
    <t>***.294.540-**</t>
  </si>
  <si>
    <t>***.433.770-**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</si>
</sst>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</numFmts>
  <fonts count="50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sz val="10"/>
      <color rgb="FFFF0000"/>
      <name val="Arial"/>
    </font>
    <font>
      <sz val="9"/>
      <color rgb="FF000000"/>
      <name val="Arial"/>
    </font>
    <font>
      <sz val="8"/>
      <color rgb="FF000000"/>
      <name val="Arail"/>
    </font>
    <font>
      <sz val="14"/>
      <color rgb="FF000000"/>
      <name val="Inconsolata"/>
    </font>
    <font>
      <sz val="10"/>
      <name val="Arial"/>
    </font>
    <font>
      <b/>
      <sz val="10"/>
      <name val="Arial"/>
    </font>
    <font>
      <sz val="8"/>
      <name val="Arial"/>
    </font>
    <font>
      <sz val="9"/>
      <name val="Arial"/>
    </font>
    <font>
      <sz val="14"/>
      <color rgb="FF000000"/>
      <name val="Arial"/>
    </font>
    <font>
      <b/>
      <sz val="11"/>
      <color theme="1"/>
      <name val="Calibri"/>
    </font>
    <font>
      <sz val="8"/>
      <color rgb="FF000000"/>
      <name val="Inconsolata"/>
    </font>
    <font>
      <sz val="11"/>
      <color theme="1"/>
      <name val="Arial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44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8" fillId="3" borderId="5" xfId="0" applyFont="1" applyFill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20" fillId="9" borderId="7" xfId="0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2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8" fillId="9" borderId="14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166" fontId="8" fillId="0" borderId="16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64" fontId="8" fillId="9" borderId="16" xfId="0" applyNumberFormat="1" applyFont="1" applyFill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164" fontId="8" fillId="10" borderId="16" xfId="0" applyNumberFormat="1" applyFont="1" applyFill="1" applyBorder="1" applyAlignment="1">
      <alignment horizontal="center" vertical="center"/>
    </xf>
    <xf numFmtId="164" fontId="8" fillId="11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 wrapText="1"/>
    </xf>
    <xf numFmtId="166" fontId="10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25" fillId="0" borderId="16" xfId="0" applyFont="1" applyBorder="1" applyAlignment="1">
      <alignment horizontal="left" wrapText="1"/>
    </xf>
    <xf numFmtId="0" fontId="26" fillId="0" borderId="16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>
      <alignment horizontal="center" wrapText="1"/>
    </xf>
    <xf numFmtId="166" fontId="10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vertical="center"/>
    </xf>
    <xf numFmtId="164" fontId="8" fillId="10" borderId="20" xfId="0" applyNumberFormat="1" applyFont="1" applyFill="1" applyBorder="1" applyAlignment="1">
      <alignment horizontal="center" vertical="center"/>
    </xf>
    <xf numFmtId="164" fontId="8" fillId="11" borderId="20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vertical="center" wrapText="1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3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4" fillId="0" borderId="0" xfId="0" applyNumberFormat="1" applyFont="1"/>
    <xf numFmtId="164" fontId="8" fillId="0" borderId="0" xfId="0" applyNumberFormat="1" applyFont="1" applyAlignment="1">
      <alignment vertical="center"/>
    </xf>
    <xf numFmtId="164" fontId="14" fillId="10" borderId="7" xfId="0" applyNumberFormat="1" applyFont="1" applyFill="1" applyBorder="1" applyAlignment="1">
      <alignment horizontal="center" vertical="center"/>
    </xf>
    <xf numFmtId="164" fontId="14" fillId="11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164" fontId="14" fillId="12" borderId="4" xfId="0" applyNumberFormat="1" applyFont="1" applyFill="1" applyBorder="1"/>
    <xf numFmtId="164" fontId="28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3" fillId="0" borderId="0" xfId="0" applyFont="1"/>
    <xf numFmtId="0" fontId="7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wrapText="1"/>
    </xf>
    <xf numFmtId="164" fontId="8" fillId="9" borderId="26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vertical="center" wrapText="1"/>
    </xf>
    <xf numFmtId="0" fontId="13" fillId="0" borderId="16" xfId="0" applyFont="1" applyBorder="1" applyAlignment="1">
      <alignment horizontal="left" wrapText="1"/>
    </xf>
    <xf numFmtId="0" fontId="26" fillId="0" borderId="20" xfId="0" applyFont="1" applyBorder="1" applyAlignment="1">
      <alignment horizontal="center" wrapText="1"/>
    </xf>
    <xf numFmtId="164" fontId="14" fillId="0" borderId="0" xfId="0" applyNumberFormat="1" applyFont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25" fillId="0" borderId="16" xfId="0" applyFont="1" applyBorder="1" applyAlignment="1">
      <alignment horizontal="center"/>
    </xf>
    <xf numFmtId="166" fontId="29" fillId="0" borderId="16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166" fontId="26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horizontal="center"/>
    </xf>
    <xf numFmtId="0" fontId="13" fillId="0" borderId="18" xfId="0" applyFont="1" applyBorder="1" applyAlignment="1">
      <alignment horizontal="center"/>
    </xf>
    <xf numFmtId="0" fontId="24" fillId="6" borderId="3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shrinkToFit="1"/>
    </xf>
    <xf numFmtId="0" fontId="24" fillId="6" borderId="32" xfId="0" applyFont="1" applyFill="1" applyBorder="1" applyAlignment="1">
      <alignment horizontal="center" vertical="center" shrinkToFi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164" fontId="2" fillId="6" borderId="32" xfId="0" applyNumberFormat="1" applyFont="1" applyFill="1" applyBorder="1" applyAlignment="1">
      <alignment horizontal="center" vertical="center" wrapText="1"/>
    </xf>
    <xf numFmtId="164" fontId="2" fillId="6" borderId="36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64" fontId="14" fillId="10" borderId="7" xfId="0" applyNumberFormat="1" applyFont="1" applyFill="1" applyBorder="1" applyAlignment="1">
      <alignment vertical="center"/>
    </xf>
    <xf numFmtId="164" fontId="14" fillId="11" borderId="7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164" fontId="2" fillId="10" borderId="12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25" fillId="0" borderId="16" xfId="0" applyFont="1" applyBorder="1" applyAlignment="1">
      <alignment horizontal="center" wrapText="1"/>
    </xf>
    <xf numFmtId="0" fontId="34" fillId="0" borderId="16" xfId="0" applyFont="1" applyBorder="1" applyAlignment="1">
      <alignment horizontal="center"/>
    </xf>
    <xf numFmtId="166" fontId="35" fillId="0" borderId="31" xfId="0" applyNumberFormat="1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164" fontId="11" fillId="9" borderId="16" xfId="0" applyNumberFormat="1" applyFont="1" applyFill="1" applyBorder="1" applyAlignment="1">
      <alignment vertical="center"/>
    </xf>
    <xf numFmtId="164" fontId="11" fillId="10" borderId="16" xfId="0" applyNumberFormat="1" applyFont="1" applyFill="1" applyBorder="1" applyAlignment="1">
      <alignment horizontal="center" vertical="center"/>
    </xf>
    <xf numFmtId="164" fontId="11" fillId="11" borderId="16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66" fontId="35" fillId="0" borderId="3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 vertical="center"/>
    </xf>
    <xf numFmtId="164" fontId="11" fillId="10" borderId="13" xfId="0" applyNumberFormat="1" applyFont="1" applyFill="1" applyBorder="1" applyAlignment="1">
      <alignment horizontal="center" vertical="center"/>
    </xf>
    <xf numFmtId="164" fontId="11" fillId="11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0" fontId="38" fillId="13" borderId="13" xfId="0" applyFont="1" applyFill="1" applyBorder="1" applyAlignment="1">
      <alignment horizontal="center" wrapText="1"/>
    </xf>
    <xf numFmtId="0" fontId="38" fillId="13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0" fillId="0" borderId="40" xfId="0" applyFont="1" applyFill="1" applyBorder="1" applyAlignment="1">
      <alignment horizontal="center"/>
    </xf>
    <xf numFmtId="0" fontId="40" fillId="0" borderId="40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41" fillId="0" borderId="40" xfId="0" applyFont="1" applyFill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42" fillId="0" borderId="40" xfId="0" applyFont="1" applyBorder="1" applyAlignment="1">
      <alignment horizontal="center" wrapText="1"/>
    </xf>
    <xf numFmtId="0" fontId="41" fillId="0" borderId="40" xfId="0" applyFont="1" applyFill="1" applyBorder="1" applyAlignment="1">
      <alignment horizontal="center" wrapText="1"/>
    </xf>
    <xf numFmtId="167" fontId="43" fillId="0" borderId="40" xfId="0" applyNumberFormat="1" applyFont="1" applyFill="1" applyBorder="1" applyAlignment="1">
      <alignment horizontal="center"/>
    </xf>
    <xf numFmtId="0" fontId="41" fillId="0" borderId="40" xfId="0" applyNumberFormat="1" applyFont="1" applyFill="1" applyBorder="1" applyAlignment="1">
      <alignment horizontal="center"/>
    </xf>
    <xf numFmtId="43" fontId="40" fillId="14" borderId="40" xfId="1" applyFont="1" applyFill="1" applyBorder="1" applyAlignment="1">
      <alignment horizontal="center" vertical="center"/>
    </xf>
    <xf numFmtId="43" fontId="40" fillId="15" borderId="40" xfId="1" applyFont="1" applyFill="1" applyBorder="1" applyAlignment="1">
      <alignment horizontal="center" vertical="center"/>
    </xf>
    <xf numFmtId="43" fontId="40" fillId="16" borderId="40" xfId="1" applyFont="1" applyFill="1" applyBorder="1" applyAlignment="1">
      <alignment vertical="center"/>
    </xf>
    <xf numFmtId="0" fontId="2" fillId="6" borderId="33" xfId="0" applyFont="1" applyFill="1" applyBorder="1" applyAlignment="1">
      <alignment horizontal="center" vertical="center" shrinkToFit="1"/>
    </xf>
    <xf numFmtId="164" fontId="2" fillId="6" borderId="33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shrinkToFit="1"/>
    </xf>
    <xf numFmtId="0" fontId="40" fillId="0" borderId="42" xfId="0" applyFont="1" applyFill="1" applyBorder="1" applyAlignment="1">
      <alignment horizontal="center"/>
    </xf>
    <xf numFmtId="0" fontId="41" fillId="0" borderId="42" xfId="0" applyFont="1" applyFill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43" xfId="0" applyFont="1" applyBorder="1"/>
    <xf numFmtId="0" fontId="42" fillId="0" borderId="4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41" fillId="0" borderId="42" xfId="0" applyFont="1" applyFill="1" applyBorder="1" applyAlignment="1">
      <alignment horizontal="center" wrapText="1"/>
    </xf>
    <xf numFmtId="167" fontId="43" fillId="0" borderId="42" xfId="0" applyNumberFormat="1" applyFont="1" applyFill="1" applyBorder="1" applyAlignment="1">
      <alignment horizontal="center"/>
    </xf>
    <xf numFmtId="0" fontId="41" fillId="0" borderId="42" xfId="0" applyNumberFormat="1" applyFont="1" applyFill="1" applyBorder="1" applyAlignment="1">
      <alignment horizontal="center"/>
    </xf>
    <xf numFmtId="43" fontId="40" fillId="16" borderId="42" xfId="1" applyFont="1" applyFill="1" applyBorder="1" applyAlignment="1">
      <alignment vertical="center"/>
    </xf>
    <xf numFmtId="164" fontId="8" fillId="9" borderId="44" xfId="0" applyNumberFormat="1" applyFont="1" applyFill="1" applyBorder="1" applyAlignment="1">
      <alignment vertical="center"/>
    </xf>
    <xf numFmtId="164" fontId="8" fillId="0" borderId="44" xfId="0" applyNumberFormat="1" applyFont="1" applyBorder="1" applyAlignment="1">
      <alignment vertical="center"/>
    </xf>
    <xf numFmtId="43" fontId="40" fillId="14" borderId="42" xfId="1" applyFont="1" applyFill="1" applyBorder="1" applyAlignment="1">
      <alignment horizontal="center" vertical="center"/>
    </xf>
    <xf numFmtId="43" fontId="40" fillId="15" borderId="42" xfId="1" applyFont="1" applyFill="1" applyBorder="1" applyAlignment="1">
      <alignment horizontal="center" vertical="center"/>
    </xf>
    <xf numFmtId="164" fontId="2" fillId="0" borderId="45" xfId="0" applyNumberFormat="1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/>
    </xf>
    <xf numFmtId="164" fontId="2" fillId="0" borderId="47" xfId="0" applyNumberFormat="1" applyFont="1" applyBorder="1" applyAlignment="1">
      <alignment vertical="center" wrapText="1"/>
    </xf>
    <xf numFmtId="0" fontId="42" fillId="0" borderId="7" xfId="0" applyFont="1" applyBorder="1"/>
    <xf numFmtId="0" fontId="7" fillId="0" borderId="48" xfId="0" applyFont="1" applyBorder="1" applyAlignment="1">
      <alignment horizontal="center" vertical="center" shrinkToFit="1"/>
    </xf>
    <xf numFmtId="0" fontId="40" fillId="0" borderId="49" xfId="0" applyFont="1" applyFill="1" applyBorder="1" applyAlignment="1">
      <alignment horizontal="center" wrapText="1"/>
    </xf>
    <xf numFmtId="0" fontId="42" fillId="0" borderId="49" xfId="0" applyFont="1" applyBorder="1" applyAlignment="1">
      <alignment horizontal="center"/>
    </xf>
    <xf numFmtId="0" fontId="42" fillId="0" borderId="49" xfId="0" applyFont="1" applyBorder="1"/>
    <xf numFmtId="0" fontId="42" fillId="0" borderId="49" xfId="0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41" fillId="0" borderId="49" xfId="0" applyFont="1" applyFill="1" applyBorder="1" applyAlignment="1">
      <alignment horizontal="center" wrapText="1"/>
    </xf>
    <xf numFmtId="167" fontId="43" fillId="0" borderId="49" xfId="0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49" xfId="0" applyNumberFormat="1" applyFont="1" applyFill="1" applyBorder="1" applyAlignment="1">
      <alignment horizontal="center"/>
    </xf>
    <xf numFmtId="43" fontId="40" fillId="16" borderId="49" xfId="1" applyFont="1" applyFill="1" applyBorder="1" applyAlignment="1">
      <alignment vertical="center"/>
    </xf>
    <xf numFmtId="164" fontId="8" fillId="9" borderId="50" xfId="0" applyNumberFormat="1" applyFont="1" applyFill="1" applyBorder="1" applyAlignment="1">
      <alignment vertical="center"/>
    </xf>
    <xf numFmtId="164" fontId="10" fillId="0" borderId="50" xfId="0" applyNumberFormat="1" applyFont="1" applyBorder="1" applyAlignment="1">
      <alignment vertical="center"/>
    </xf>
    <xf numFmtId="43" fontId="40" fillId="14" borderId="49" xfId="1" applyFont="1" applyFill="1" applyBorder="1" applyAlignment="1">
      <alignment horizontal="center" vertical="center"/>
    </xf>
    <xf numFmtId="43" fontId="40" fillId="15" borderId="49" xfId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wrapText="1"/>
    </xf>
    <xf numFmtId="0" fontId="2" fillId="6" borderId="52" xfId="0" applyFont="1" applyFill="1" applyBorder="1" applyAlignment="1">
      <alignment horizontal="center" vertical="center" shrinkToFit="1"/>
    </xf>
    <xf numFmtId="0" fontId="24" fillId="6" borderId="53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shrinkToFit="1"/>
    </xf>
    <xf numFmtId="0" fontId="2" fillId="6" borderId="53" xfId="0" applyFont="1" applyFill="1" applyBorder="1" applyAlignment="1">
      <alignment horizontal="center" vertical="center" shrinkToFit="1"/>
    </xf>
    <xf numFmtId="0" fontId="24" fillId="6" borderId="53" xfId="0" applyFont="1" applyFill="1" applyBorder="1" applyAlignment="1">
      <alignment horizontal="center" vertical="center" shrinkToFit="1"/>
    </xf>
    <xf numFmtId="0" fontId="2" fillId="6" borderId="56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164" fontId="2" fillId="6" borderId="54" xfId="0" applyNumberFormat="1" applyFont="1" applyFill="1" applyBorder="1" applyAlignment="1">
      <alignment horizontal="center" vertical="center" wrapText="1"/>
    </xf>
    <xf numFmtId="164" fontId="2" fillId="6" borderId="53" xfId="0" applyNumberFormat="1" applyFont="1" applyFill="1" applyBorder="1" applyAlignment="1">
      <alignment horizontal="center" vertical="center" wrapText="1"/>
    </xf>
    <xf numFmtId="164" fontId="2" fillId="6" borderId="58" xfId="0" applyNumberFormat="1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164" fontId="2" fillId="0" borderId="60" xfId="0" applyNumberFormat="1" applyFont="1" applyBorder="1" applyAlignment="1">
      <alignment vertical="center" wrapText="1"/>
    </xf>
    <xf numFmtId="0" fontId="8" fillId="0" borderId="50" xfId="0" applyFont="1" applyBorder="1" applyAlignment="1">
      <alignment horizontal="center"/>
    </xf>
    <xf numFmtId="0" fontId="13" fillId="0" borderId="61" xfId="0" applyFont="1" applyBorder="1" applyAlignment="1">
      <alignment horizontal="center" wrapText="1"/>
    </xf>
    <xf numFmtId="0" fontId="26" fillId="0" borderId="50" xfId="0" applyFont="1" applyBorder="1" applyAlignment="1">
      <alignment horizontal="center"/>
    </xf>
    <xf numFmtId="0" fontId="25" fillId="0" borderId="50" xfId="0" applyFont="1" applyBorder="1" applyAlignment="1">
      <alignment horizontal="center" wrapText="1"/>
    </xf>
    <xf numFmtId="166" fontId="29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164" fontId="8" fillId="0" borderId="50" xfId="0" applyNumberFormat="1" applyFont="1" applyBorder="1" applyAlignment="1">
      <alignment horizontal="center" vertical="center"/>
    </xf>
    <xf numFmtId="164" fontId="8" fillId="10" borderId="50" xfId="0" applyNumberFormat="1" applyFont="1" applyFill="1" applyBorder="1" applyAlignment="1">
      <alignment horizontal="center" vertical="center"/>
    </xf>
    <xf numFmtId="164" fontId="8" fillId="11" borderId="50" xfId="0" applyNumberFormat="1" applyFont="1" applyFill="1" applyBorder="1" applyAlignment="1">
      <alignment horizontal="center" vertical="center"/>
    </xf>
    <xf numFmtId="0" fontId="24" fillId="6" borderId="62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164" fontId="2" fillId="6" borderId="63" xfId="0" applyNumberFormat="1" applyFont="1" applyFill="1" applyBorder="1" applyAlignment="1">
      <alignment horizontal="center" vertical="center" wrapText="1"/>
    </xf>
    <xf numFmtId="164" fontId="2" fillId="6" borderId="29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25" fillId="0" borderId="44" xfId="0" applyFont="1" applyBorder="1" applyAlignment="1">
      <alignment horizontal="left" wrapText="1"/>
    </xf>
    <xf numFmtId="0" fontId="26" fillId="0" borderId="44" xfId="0" applyFont="1" applyBorder="1" applyAlignment="1">
      <alignment horizontal="center" wrapText="1"/>
    </xf>
    <xf numFmtId="0" fontId="25" fillId="0" borderId="44" xfId="0" applyFont="1" applyBorder="1" applyAlignment="1">
      <alignment horizontal="center" wrapText="1"/>
    </xf>
    <xf numFmtId="166" fontId="10" fillId="0" borderId="44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164" fontId="8" fillId="10" borderId="44" xfId="0" applyNumberFormat="1" applyFont="1" applyFill="1" applyBorder="1" applyAlignment="1">
      <alignment horizontal="center" vertical="center"/>
    </xf>
    <xf numFmtId="164" fontId="8" fillId="11" borderId="44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wrapText="1"/>
    </xf>
    <xf numFmtId="0" fontId="13" fillId="0" borderId="50" xfId="0" applyFont="1" applyBorder="1" applyAlignment="1">
      <alignment horizontal="left"/>
    </xf>
    <xf numFmtId="166" fontId="8" fillId="0" borderId="50" xfId="0" applyNumberFormat="1" applyFont="1" applyBorder="1" applyAlignment="1">
      <alignment horizontal="center"/>
    </xf>
    <xf numFmtId="164" fontId="8" fillId="0" borderId="50" xfId="0" applyNumberFormat="1" applyFont="1" applyBorder="1" applyAlignment="1">
      <alignment vertical="center"/>
    </xf>
    <xf numFmtId="0" fontId="2" fillId="6" borderId="63" xfId="0" applyFont="1" applyFill="1" applyBorder="1" applyAlignment="1">
      <alignment horizontal="center" vertical="center" shrinkToFit="1"/>
    </xf>
    <xf numFmtId="0" fontId="2" fillId="6" borderId="35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13" fillId="5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164" fontId="14" fillId="0" borderId="7" xfId="0" applyNumberFormat="1" applyFont="1" applyBorder="1"/>
    <xf numFmtId="164" fontId="14" fillId="0" borderId="7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left" wrapText="1"/>
    </xf>
    <xf numFmtId="0" fontId="8" fillId="0" borderId="44" xfId="0" applyFont="1" applyBorder="1" applyAlignment="1">
      <alignment horizontal="center" wrapText="1"/>
    </xf>
    <xf numFmtId="0" fontId="25" fillId="0" borderId="43" xfId="0" applyFont="1" applyBorder="1" applyAlignment="1">
      <alignment horizontal="center" wrapText="1"/>
    </xf>
    <xf numFmtId="166" fontId="8" fillId="0" borderId="44" xfId="0" applyNumberFormat="1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164" fontId="10" fillId="0" borderId="44" xfId="0" applyNumberFormat="1" applyFont="1" applyBorder="1" applyAlignment="1">
      <alignment vertical="center"/>
    </xf>
    <xf numFmtId="164" fontId="2" fillId="0" borderId="64" xfId="0" applyNumberFormat="1" applyFont="1" applyBorder="1" applyAlignment="1">
      <alignment vertical="center" wrapText="1"/>
    </xf>
    <xf numFmtId="0" fontId="8" fillId="0" borderId="50" xfId="0" applyFont="1" applyBorder="1" applyAlignment="1">
      <alignment horizontal="center" wrapText="1"/>
    </xf>
    <xf numFmtId="0" fontId="25" fillId="0" borderId="65" xfId="0" applyFont="1" applyBorder="1" applyAlignment="1">
      <alignment horizontal="center" wrapText="1"/>
    </xf>
    <xf numFmtId="0" fontId="13" fillId="0" borderId="50" xfId="0" applyFont="1" applyBorder="1" applyAlignment="1">
      <alignment horizontal="center"/>
    </xf>
    <xf numFmtId="164" fontId="2" fillId="0" borderId="66" xfId="0" applyNumberFormat="1" applyFont="1" applyBorder="1" applyAlignment="1">
      <alignment vertical="center" wrapText="1"/>
    </xf>
    <xf numFmtId="0" fontId="2" fillId="6" borderId="62" xfId="0" applyFont="1" applyFill="1" applyBorder="1" applyAlignment="1">
      <alignment horizontal="center" vertical="center" shrinkToFit="1"/>
    </xf>
    <xf numFmtId="0" fontId="2" fillId="6" borderId="29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wrapText="1"/>
    </xf>
    <xf numFmtId="0" fontId="26" fillId="0" borderId="50" xfId="0" applyFont="1" applyBorder="1" applyAlignment="1">
      <alignment horizontal="center" wrapText="1"/>
    </xf>
    <xf numFmtId="166" fontId="10" fillId="0" borderId="50" xfId="0" applyNumberFormat="1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5" fillId="0" borderId="68" xfId="0" applyFont="1" applyBorder="1" applyAlignment="1">
      <alignment horizontal="center" wrapText="1"/>
    </xf>
    <xf numFmtId="166" fontId="29" fillId="0" borderId="44" xfId="0" applyNumberFormat="1" applyFont="1" applyBorder="1" applyAlignment="1">
      <alignment horizontal="center"/>
    </xf>
    <xf numFmtId="0" fontId="32" fillId="0" borderId="48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/>
    </xf>
    <xf numFmtId="0" fontId="13" fillId="0" borderId="69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164" fontId="2" fillId="0" borderId="70" xfId="0" applyNumberFormat="1" applyFont="1" applyBorder="1" applyAlignment="1">
      <alignment vertical="center" wrapText="1"/>
    </xf>
    <xf numFmtId="0" fontId="7" fillId="0" borderId="71" xfId="0" applyFont="1" applyBorder="1" applyAlignment="1">
      <alignment horizontal="center" vertical="center" shrinkToFit="1"/>
    </xf>
    <xf numFmtId="164" fontId="2" fillId="0" borderId="72" xfId="0" applyNumberFormat="1" applyFont="1" applyBorder="1" applyAlignment="1">
      <alignment vertical="center" wrapText="1"/>
    </xf>
    <xf numFmtId="164" fontId="2" fillId="0" borderId="73" xfId="0" applyNumberFormat="1" applyFont="1" applyBorder="1" applyAlignment="1">
      <alignment vertical="center" wrapText="1"/>
    </xf>
    <xf numFmtId="0" fontId="41" fillId="0" borderId="40" xfId="0" applyFont="1" applyFill="1" applyBorder="1" applyAlignment="1">
      <alignment horizontal="left"/>
    </xf>
    <xf numFmtId="0" fontId="13" fillId="0" borderId="74" xfId="0" applyFont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2" fillId="6" borderId="75" xfId="0" applyFont="1" applyFill="1" applyBorder="1" applyAlignment="1">
      <alignment horizontal="center" vertical="center" shrinkToFit="1"/>
    </xf>
    <xf numFmtId="0" fontId="24" fillId="6" borderId="76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shrinkToFit="1"/>
    </xf>
    <xf numFmtId="0" fontId="2" fillId="6" borderId="76" xfId="0" applyFont="1" applyFill="1" applyBorder="1" applyAlignment="1">
      <alignment horizontal="center" vertical="center" shrinkToFit="1"/>
    </xf>
    <xf numFmtId="0" fontId="24" fillId="6" borderId="76" xfId="0" applyFont="1" applyFill="1" applyBorder="1" applyAlignment="1">
      <alignment horizontal="center" vertical="center" shrinkToFit="1"/>
    </xf>
    <xf numFmtId="0" fontId="2" fillId="6" borderId="79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164" fontId="2" fillId="6" borderId="77" xfId="0" applyNumberFormat="1" applyFont="1" applyFill="1" applyBorder="1" applyAlignment="1">
      <alignment horizontal="center" vertical="center" wrapText="1"/>
    </xf>
    <xf numFmtId="164" fontId="2" fillId="6" borderId="76" xfId="0" applyNumberFormat="1" applyFont="1" applyFill="1" applyBorder="1" applyAlignment="1">
      <alignment horizontal="center" vertical="center" wrapText="1"/>
    </xf>
    <xf numFmtId="164" fontId="2" fillId="6" borderId="81" xfId="0" applyNumberFormat="1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left"/>
    </xf>
    <xf numFmtId="0" fontId="40" fillId="0" borderId="42" xfId="0" applyFont="1" applyFill="1" applyBorder="1" applyAlignment="1">
      <alignment horizontal="center" wrapText="1"/>
    </xf>
    <xf numFmtId="0" fontId="40" fillId="0" borderId="49" xfId="0" applyFont="1" applyFill="1" applyBorder="1" applyAlignment="1">
      <alignment horizontal="center"/>
    </xf>
    <xf numFmtId="0" fontId="41" fillId="0" borderId="49" xfId="0" applyFont="1" applyFill="1" applyBorder="1" applyAlignment="1">
      <alignment horizontal="left"/>
    </xf>
    <xf numFmtId="0" fontId="44" fillId="0" borderId="82" xfId="0" applyFont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2" fillId="6" borderId="83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wrapText="1"/>
    </xf>
    <xf numFmtId="167" fontId="43" fillId="0" borderId="7" xfId="0" applyNumberFormat="1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1" fillId="0" borderId="7" xfId="0" applyNumberFormat="1" applyFont="1" applyFill="1" applyBorder="1" applyAlignment="1">
      <alignment horizontal="center"/>
    </xf>
    <xf numFmtId="0" fontId="13" fillId="0" borderId="65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1" fillId="17" borderId="7" xfId="0" applyFont="1" applyFill="1" applyBorder="1"/>
    <xf numFmtId="0" fontId="1" fillId="17" borderId="7" xfId="0" applyFont="1" applyFill="1" applyBorder="1" applyAlignment="1">
      <alignment horizontal="left"/>
    </xf>
    <xf numFmtId="43" fontId="40" fillId="0" borderId="40" xfId="1" applyFont="1" applyFill="1" applyBorder="1" applyAlignment="1">
      <alignment vertical="center"/>
    </xf>
    <xf numFmtId="43" fontId="40" fillId="0" borderId="42" xfId="1" applyFont="1" applyFill="1" applyBorder="1" applyAlignment="1">
      <alignment vertical="center"/>
    </xf>
    <xf numFmtId="43" fontId="40" fillId="0" borderId="49" xfId="1" applyFont="1" applyFill="1" applyBorder="1" applyAlignment="1">
      <alignment vertical="center"/>
    </xf>
    <xf numFmtId="164" fontId="8" fillId="18" borderId="44" xfId="0" applyNumberFormat="1" applyFont="1" applyFill="1" applyBorder="1" applyAlignment="1">
      <alignment vertical="center"/>
    </xf>
    <xf numFmtId="164" fontId="8" fillId="18" borderId="14" xfId="0" applyNumberFormat="1" applyFont="1" applyFill="1" applyBorder="1" applyAlignment="1">
      <alignment vertical="center"/>
    </xf>
    <xf numFmtId="164" fontId="8" fillId="18" borderId="16" xfId="0" applyNumberFormat="1" applyFont="1" applyFill="1" applyBorder="1" applyAlignment="1">
      <alignment vertical="center"/>
    </xf>
    <xf numFmtId="164" fontId="8" fillId="18" borderId="50" xfId="0" applyNumberFormat="1" applyFont="1" applyFill="1" applyBorder="1" applyAlignment="1">
      <alignment vertical="center"/>
    </xf>
    <xf numFmtId="0" fontId="5" fillId="0" borderId="32" xfId="0" applyFont="1" applyBorder="1" applyAlignment="1">
      <alignment horizontal="center" wrapText="1"/>
    </xf>
    <xf numFmtId="43" fontId="40" fillId="14" borderId="84" xfId="1" applyFont="1" applyFill="1" applyBorder="1" applyAlignment="1">
      <alignment horizontal="center" vertical="center"/>
    </xf>
    <xf numFmtId="0" fontId="2" fillId="9" borderId="85" xfId="0" applyFont="1" applyFill="1" applyBorder="1" applyAlignment="1">
      <alignment horizontal="center" vertical="center" wrapText="1"/>
    </xf>
    <xf numFmtId="0" fontId="2" fillId="9" borderId="80" xfId="0" applyFont="1" applyFill="1" applyBorder="1" applyAlignment="1">
      <alignment horizontal="center" vertical="center" wrapText="1"/>
    </xf>
    <xf numFmtId="0" fontId="2" fillId="9" borderId="76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164" fontId="2" fillId="10" borderId="77" xfId="0" applyNumberFormat="1" applyFont="1" applyFill="1" applyBorder="1" applyAlignment="1">
      <alignment horizontal="center" vertical="center" wrapText="1"/>
    </xf>
    <xf numFmtId="164" fontId="2" fillId="11" borderId="76" xfId="0" applyNumberFormat="1" applyFont="1" applyFill="1" applyBorder="1" applyAlignment="1">
      <alignment horizontal="center" vertical="center" wrapText="1"/>
    </xf>
    <xf numFmtId="164" fontId="2" fillId="0" borderId="81" xfId="0" applyNumberFormat="1" applyFont="1" applyBorder="1" applyAlignment="1">
      <alignment horizontal="center" vertical="center" wrapText="1"/>
    </xf>
    <xf numFmtId="0" fontId="40" fillId="0" borderId="84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left"/>
    </xf>
    <xf numFmtId="0" fontId="41" fillId="0" borderId="84" xfId="0" applyFont="1" applyFill="1" applyBorder="1" applyAlignment="1">
      <alignment horizontal="center" wrapText="1"/>
    </xf>
    <xf numFmtId="167" fontId="43" fillId="0" borderId="84" xfId="0" applyNumberFormat="1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1" fillId="0" borderId="84" xfId="0" applyNumberFormat="1" applyFont="1" applyFill="1" applyBorder="1" applyAlignment="1">
      <alignment horizontal="center"/>
    </xf>
    <xf numFmtId="0" fontId="2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13" fillId="19" borderId="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2" xfId="0" applyFont="1" applyFill="1" applyBorder="1" applyAlignment="1">
      <alignment horizontal="center" vertical="center" wrapText="1"/>
    </xf>
    <xf numFmtId="164" fontId="2" fillId="4" borderId="32" xfId="0" applyNumberFormat="1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164" fontId="8" fillId="6" borderId="87" xfId="0" applyNumberFormat="1" applyFont="1" applyFill="1" applyBorder="1" applyAlignment="1">
      <alignment vertical="center"/>
    </xf>
    <xf numFmtId="164" fontId="8" fillId="6" borderId="87" xfId="0" applyNumberFormat="1" applyFont="1" applyFill="1" applyBorder="1" applyAlignment="1">
      <alignment horizontal="center" vertical="center"/>
    </xf>
    <xf numFmtId="0" fontId="8" fillId="3" borderId="89" xfId="0" applyFont="1" applyFill="1" applyBorder="1" applyAlignment="1">
      <alignment horizontal="center" wrapText="1"/>
    </xf>
    <xf numFmtId="0" fontId="8" fillId="3" borderId="89" xfId="0" applyFont="1" applyFill="1" applyBorder="1" applyAlignment="1">
      <alignment horizontal="center"/>
    </xf>
    <xf numFmtId="0" fontId="8" fillId="3" borderId="91" xfId="0" applyFont="1" applyFill="1" applyBorder="1" applyAlignment="1">
      <alignment horizontal="center"/>
    </xf>
    <xf numFmtId="164" fontId="8" fillId="6" borderId="92" xfId="0" applyNumberFormat="1" applyFont="1" applyFill="1" applyBorder="1" applyAlignment="1">
      <alignment vertical="center"/>
    </xf>
    <xf numFmtId="164" fontId="8" fillId="6" borderId="92" xfId="0" applyNumberFormat="1" applyFont="1" applyFill="1" applyBorder="1" applyAlignment="1">
      <alignment horizontal="center" vertical="center"/>
    </xf>
    <xf numFmtId="164" fontId="46" fillId="0" borderId="0" xfId="0" applyNumberFormat="1" applyFont="1" applyAlignment="1">
      <alignment vertical="center"/>
    </xf>
    <xf numFmtId="43" fontId="45" fillId="15" borderId="7" xfId="1" applyFont="1" applyFill="1" applyBorder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64" fontId="2" fillId="20" borderId="32" xfId="0" applyNumberFormat="1" applyFont="1" applyFill="1" applyBorder="1" applyAlignment="1">
      <alignment horizontal="center" vertical="center" wrapText="1"/>
    </xf>
    <xf numFmtId="164" fontId="9" fillId="20" borderId="88" xfId="0" applyNumberFormat="1" applyFont="1" applyFill="1" applyBorder="1" applyAlignment="1">
      <alignment vertical="center" wrapText="1"/>
    </xf>
    <xf numFmtId="164" fontId="9" fillId="20" borderId="90" xfId="0" applyNumberFormat="1" applyFont="1" applyFill="1" applyBorder="1" applyAlignment="1">
      <alignment vertical="center" wrapText="1"/>
    </xf>
    <xf numFmtId="164" fontId="9" fillId="20" borderId="93" xfId="0" applyNumberFormat="1" applyFont="1" applyFill="1" applyBorder="1" applyAlignment="1">
      <alignment vertical="center" wrapText="1"/>
    </xf>
    <xf numFmtId="164" fontId="14" fillId="21" borderId="4" xfId="0" applyNumberFormat="1" applyFont="1" applyFill="1" applyBorder="1"/>
    <xf numFmtId="164" fontId="14" fillId="21" borderId="4" xfId="0" applyNumberFormat="1" applyFont="1" applyFill="1" applyBorder="1" applyAlignment="1">
      <alignment horizontal="left"/>
    </xf>
    <xf numFmtId="164" fontId="14" fillId="21" borderId="4" xfId="0" applyNumberFormat="1" applyFont="1" applyFill="1" applyBorder="1" applyAlignment="1">
      <alignment horizontal="center" vertical="center"/>
    </xf>
    <xf numFmtId="43" fontId="40" fillId="22" borderId="40" xfId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7" fillId="0" borderId="94" xfId="0" applyFont="1" applyBorder="1" applyAlignment="1">
      <alignment horizontal="center" vertical="center" shrinkToFit="1"/>
    </xf>
    <xf numFmtId="0" fontId="44" fillId="0" borderId="84" xfId="0" applyFont="1" applyBorder="1" applyAlignment="1">
      <alignment horizontal="center"/>
    </xf>
    <xf numFmtId="0" fontId="42" fillId="0" borderId="84" xfId="0" applyFont="1" applyBorder="1" applyAlignment="1">
      <alignment horizontal="center"/>
    </xf>
    <xf numFmtId="0" fontId="42" fillId="0" borderId="84" xfId="0" applyFont="1" applyBorder="1" applyAlignment="1">
      <alignment wrapText="1"/>
    </xf>
    <xf numFmtId="164" fontId="8" fillId="0" borderId="14" xfId="0" applyNumberFormat="1" applyFont="1" applyBorder="1" applyAlignment="1">
      <alignment vertical="center"/>
    </xf>
    <xf numFmtId="164" fontId="2" fillId="0" borderId="95" xfId="0" applyNumberFormat="1" applyFont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vertical="center"/>
    </xf>
    <xf numFmtId="164" fontId="8" fillId="0" borderId="44" xfId="0" applyNumberFormat="1" applyFont="1" applyFill="1" applyBorder="1" applyAlignment="1">
      <alignment vertical="center"/>
    </xf>
    <xf numFmtId="0" fontId="8" fillId="3" borderId="96" xfId="0" applyFont="1" applyFill="1" applyBorder="1" applyAlignment="1">
      <alignment horizontal="center"/>
    </xf>
    <xf numFmtId="43" fontId="40" fillId="0" borderId="40" xfId="1" applyFont="1" applyFill="1" applyBorder="1" applyAlignment="1">
      <alignment horizontal="center" vertical="center"/>
    </xf>
    <xf numFmtId="0" fontId="10" fillId="0" borderId="0" xfId="0" applyFont="1" applyFill="1"/>
    <xf numFmtId="0" fontId="48" fillId="23" borderId="0" xfId="0" applyFont="1" applyFill="1" applyAlignment="1">
      <alignment horizontal="center"/>
    </xf>
    <xf numFmtId="0" fontId="49" fillId="0" borderId="0" xfId="0" applyFont="1"/>
    <xf numFmtId="0" fontId="48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 shrinkToFit="1"/>
    </xf>
    <xf numFmtId="0" fontId="6" fillId="0" borderId="33" xfId="0" applyFont="1" applyBorder="1"/>
    <xf numFmtId="0" fontId="6" fillId="0" borderId="36" xfId="0" applyFont="1" applyBorder="1"/>
    <xf numFmtId="0" fontId="2" fillId="6" borderId="38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 vertical="center" shrinkToFit="1"/>
    </xf>
    <xf numFmtId="0" fontId="6" fillId="0" borderId="54" xfId="0" applyFont="1" applyBorder="1"/>
    <xf numFmtId="0" fontId="6" fillId="0" borderId="55" xfId="0" applyFont="1" applyBorder="1"/>
    <xf numFmtId="0" fontId="2" fillId="6" borderId="77" xfId="0" applyFont="1" applyFill="1" applyBorder="1" applyAlignment="1">
      <alignment horizontal="center" vertical="center" shrinkToFit="1"/>
    </xf>
    <xf numFmtId="0" fontId="6" fillId="0" borderId="77" xfId="0" applyFont="1" applyBorder="1"/>
    <xf numFmtId="0" fontId="6" fillId="0" borderId="78" xfId="0" applyFont="1" applyBorder="1"/>
    <xf numFmtId="0" fontId="5" fillId="0" borderId="3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40" fillId="0" borderId="97" xfId="0" applyFont="1" applyFill="1" applyBorder="1" applyAlignment="1">
      <alignment horizontal="center"/>
    </xf>
    <xf numFmtId="0" fontId="40" fillId="0" borderId="84" xfId="0" applyFont="1" applyFill="1" applyBorder="1" applyAlignment="1">
      <alignment horizontal="center" wrapText="1"/>
    </xf>
    <xf numFmtId="0" fontId="2" fillId="9" borderId="98" xfId="0" applyFont="1" applyFill="1" applyBorder="1" applyAlignment="1">
      <alignment horizontal="center" vertical="center" wrapText="1"/>
    </xf>
    <xf numFmtId="0" fontId="2" fillId="9" borderId="99" xfId="0" applyFont="1" applyFill="1" applyBorder="1" applyAlignment="1">
      <alignment horizontal="center" vertical="center" wrapText="1"/>
    </xf>
    <xf numFmtId="0" fontId="2" fillId="9" borderId="100" xfId="0" applyFont="1" applyFill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164" fontId="2" fillId="10" borderId="43" xfId="0" applyNumberFormat="1" applyFont="1" applyFill="1" applyBorder="1" applyAlignment="1">
      <alignment horizontal="center" vertical="center" wrapText="1"/>
    </xf>
    <xf numFmtId="164" fontId="2" fillId="11" borderId="100" xfId="0" applyNumberFormat="1" applyFont="1" applyFill="1" applyBorder="1" applyAlignment="1">
      <alignment horizontal="center" vertical="center" wrapText="1"/>
    </xf>
    <xf numFmtId="164" fontId="2" fillId="0" borderId="101" xfId="0" applyNumberFormat="1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shrinkToFit="1"/>
    </xf>
    <xf numFmtId="43" fontId="40" fillId="22" borderId="49" xfId="1" applyFont="1" applyFill="1" applyBorder="1" applyAlignment="1">
      <alignment horizontal="center" vertical="center"/>
    </xf>
    <xf numFmtId="164" fontId="2" fillId="0" borderId="103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workbookViewId="0">
      <selection activeCell="E31" sqref="E31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401" t="s">
        <v>55</v>
      </c>
      <c r="B2" s="402"/>
      <c r="C2" s="402"/>
      <c r="D2" s="402"/>
      <c r="E2" s="402"/>
      <c r="F2" s="402"/>
      <c r="G2" s="402"/>
      <c r="H2" s="402"/>
      <c r="I2" s="402"/>
      <c r="J2" s="40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6"/>
      <c r="C4" s="6"/>
      <c r="D4" s="403" t="s">
        <v>0</v>
      </c>
      <c r="E4" s="404"/>
      <c r="F4" s="405"/>
      <c r="G4" s="8" t="s">
        <v>1</v>
      </c>
      <c r="H4" s="403" t="s">
        <v>1</v>
      </c>
      <c r="I4" s="405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9"/>
      <c r="B5" s="359" t="s">
        <v>2</v>
      </c>
      <c r="C5" s="359" t="s">
        <v>3</v>
      </c>
      <c r="D5" s="360" t="s">
        <v>4</v>
      </c>
      <c r="E5" s="360" t="s">
        <v>5</v>
      </c>
      <c r="F5" s="361" t="s">
        <v>6</v>
      </c>
      <c r="G5" s="360" t="s">
        <v>7</v>
      </c>
      <c r="H5" s="362" t="s">
        <v>8</v>
      </c>
      <c r="I5" s="362" t="s">
        <v>9</v>
      </c>
      <c r="J5" s="376" t="s">
        <v>10</v>
      </c>
    </row>
    <row r="6" spans="1:28" ht="24.75" customHeight="1">
      <c r="A6" s="398" t="s">
        <v>169</v>
      </c>
      <c r="B6" s="363" t="s">
        <v>11</v>
      </c>
      <c r="C6" s="364" t="s">
        <v>12</v>
      </c>
      <c r="D6" s="365">
        <f>'JAN-21'!M9</f>
        <v>0</v>
      </c>
      <c r="E6" s="365">
        <f>'JAN-21'!N9</f>
        <v>0</v>
      </c>
      <c r="F6" s="365">
        <f>'JAN-21'!O9</f>
        <v>0</v>
      </c>
      <c r="G6" s="365">
        <f>'JAN-21'!P11</f>
        <v>0</v>
      </c>
      <c r="H6" s="366">
        <f>'JAN-21'!Q9</f>
        <v>0</v>
      </c>
      <c r="I6" s="366">
        <f>'JAN-21'!R9</f>
        <v>0</v>
      </c>
      <c r="J6" s="377">
        <f t="shared" ref="J6:J17" si="0">D6+E6+F6+G6+H6+I6</f>
        <v>0</v>
      </c>
      <c r="K6" s="397"/>
      <c r="L6" s="12">
        <f>J6-'JAN-21'!S9</f>
        <v>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4.75" customHeight="1">
      <c r="A7" s="398" t="s">
        <v>169</v>
      </c>
      <c r="B7" s="367" t="s">
        <v>13</v>
      </c>
      <c r="C7" s="10" t="s">
        <v>12</v>
      </c>
      <c r="D7" s="13">
        <f>'FEV-21'!M8</f>
        <v>0</v>
      </c>
      <c r="E7" s="13">
        <f>'FEV-21'!N8</f>
        <v>0</v>
      </c>
      <c r="F7" s="13">
        <f>'FEV-21'!O8</f>
        <v>0</v>
      </c>
      <c r="G7" s="13">
        <f>'FEV-21'!P10</f>
        <v>0</v>
      </c>
      <c r="H7" s="14">
        <f>'FEV-21'!Q8</f>
        <v>0</v>
      </c>
      <c r="I7" s="14">
        <f>'FEV-21'!R8</f>
        <v>0</v>
      </c>
      <c r="J7" s="378">
        <f t="shared" si="0"/>
        <v>0</v>
      </c>
      <c r="K7" s="397"/>
      <c r="L7" s="12">
        <f>J7-'FEV-21'!S8</f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24.75" customHeight="1">
      <c r="A8" s="398" t="s">
        <v>169</v>
      </c>
      <c r="B8" s="368" t="s">
        <v>15</v>
      </c>
      <c r="C8" s="10" t="s">
        <v>12</v>
      </c>
      <c r="D8" s="13">
        <f>'MAR-21'!M9</f>
        <v>0</v>
      </c>
      <c r="E8" s="13">
        <f>'MAR-21'!N9</f>
        <v>0</v>
      </c>
      <c r="F8" s="13">
        <f>'MAR-21'!O9</f>
        <v>0</v>
      </c>
      <c r="G8" s="13">
        <f>'MAR-21'!P11</f>
        <v>0</v>
      </c>
      <c r="H8" s="14">
        <f>'MAR-21'!Q9</f>
        <v>0</v>
      </c>
      <c r="I8" s="14">
        <f>'MAR-21'!R9</f>
        <v>0</v>
      </c>
      <c r="J8" s="378">
        <f t="shared" si="0"/>
        <v>0</v>
      </c>
      <c r="K8" s="397"/>
      <c r="L8" s="12">
        <f>J8-'MAR-21'!S9</f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30" customHeight="1">
      <c r="A9" s="398" t="s">
        <v>169</v>
      </c>
      <c r="B9" s="367" t="s">
        <v>16</v>
      </c>
      <c r="C9" s="10" t="s">
        <v>12</v>
      </c>
      <c r="D9" s="13">
        <f>'ABR-21'!M11</f>
        <v>388.78999999999996</v>
      </c>
      <c r="E9" s="13">
        <f>'ABR-21'!N11</f>
        <v>1727.92</v>
      </c>
      <c r="F9" s="13">
        <f>'ABR-21'!O11</f>
        <v>0</v>
      </c>
      <c r="G9" s="13">
        <f>'ABR-21'!P13</f>
        <v>0</v>
      </c>
      <c r="H9" s="14">
        <f>'ABR-21'!Q11</f>
        <v>8305.85</v>
      </c>
      <c r="I9" s="14">
        <f>'ABR-21'!R11</f>
        <v>4038.24</v>
      </c>
      <c r="J9" s="378">
        <f t="shared" si="0"/>
        <v>14460.800000000001</v>
      </c>
      <c r="K9" s="397"/>
      <c r="L9" s="12">
        <f>J9-'ABR-21'!S11</f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24.75" customHeight="1">
      <c r="A10" s="398" t="s">
        <v>169</v>
      </c>
      <c r="B10" s="367" t="s">
        <v>17</v>
      </c>
      <c r="C10" s="10" t="s">
        <v>12</v>
      </c>
      <c r="D10" s="13">
        <f>'MAI-21'!M8</f>
        <v>0</v>
      </c>
      <c r="E10" s="13">
        <f>'MAI-21'!N8</f>
        <v>0</v>
      </c>
      <c r="F10" s="13">
        <f>'MAI-21'!O8</f>
        <v>0</v>
      </c>
      <c r="G10" s="13">
        <f>'MAI-21'!P10</f>
        <v>0</v>
      </c>
      <c r="H10" s="14">
        <f>'MAI-21'!Q8</f>
        <v>0</v>
      </c>
      <c r="I10" s="14">
        <f>'MAI-21'!R8</f>
        <v>0</v>
      </c>
      <c r="J10" s="378">
        <f t="shared" si="0"/>
        <v>0</v>
      </c>
      <c r="K10" s="11"/>
      <c r="L10" s="12">
        <f>J10-'MAI-21'!S8</f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24.75" customHeight="1">
      <c r="A11" s="398" t="s">
        <v>169</v>
      </c>
      <c r="B11" s="367" t="s">
        <v>18</v>
      </c>
      <c r="C11" s="10" t="s">
        <v>12</v>
      </c>
      <c r="D11" s="13">
        <f>'JUN-21'!M8</f>
        <v>0</v>
      </c>
      <c r="E11" s="13">
        <f>'JUN-21'!N8</f>
        <v>0</v>
      </c>
      <c r="F11" s="13">
        <f>'JUN-21'!O8</f>
        <v>0</v>
      </c>
      <c r="G11" s="13">
        <f>'JUN-21'!P10</f>
        <v>0</v>
      </c>
      <c r="H11" s="14">
        <f>'JUN-21'!Q8</f>
        <v>0</v>
      </c>
      <c r="I11" s="14">
        <f>'JUN-21'!R8</f>
        <v>0</v>
      </c>
      <c r="J11" s="378">
        <f t="shared" si="0"/>
        <v>0</v>
      </c>
      <c r="K11" s="11"/>
      <c r="L11" s="12">
        <f>J11-'JUN-21'!S8</f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24.75" customHeight="1">
      <c r="A12" s="398" t="s">
        <v>169</v>
      </c>
      <c r="B12" s="367" t="s">
        <v>19</v>
      </c>
      <c r="C12" s="10" t="s">
        <v>12</v>
      </c>
      <c r="D12" s="13">
        <f>'JUL-21'!M13</f>
        <v>129.59</v>
      </c>
      <c r="E12" s="13">
        <f>'JUL-21'!N13</f>
        <v>1332.55</v>
      </c>
      <c r="F12" s="13">
        <f>'JUL-21'!O13</f>
        <v>0</v>
      </c>
      <c r="G12" s="13">
        <f>'JUL-21'!P15</f>
        <v>899.43529999999998</v>
      </c>
      <c r="H12" s="14">
        <f>'JUL-21'!Q13</f>
        <v>13466.960000000001</v>
      </c>
      <c r="I12" s="14">
        <f>'JUL-21'!R13</f>
        <v>6143.170000000001</v>
      </c>
      <c r="J12" s="378">
        <f t="shared" si="0"/>
        <v>21971.705300000001</v>
      </c>
      <c r="K12" s="11"/>
      <c r="L12" s="12">
        <f>J12-'JUL-21'!S13</f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24.75" customHeight="1">
      <c r="A13" s="398" t="s">
        <v>169</v>
      </c>
      <c r="B13" s="368" t="s">
        <v>20</v>
      </c>
      <c r="C13" s="10" t="s">
        <v>12</v>
      </c>
      <c r="D13" s="13">
        <f>'AGO-21'!M16</f>
        <v>120.85999999999999</v>
      </c>
      <c r="E13" s="13">
        <f>'AGO-21'!N16</f>
        <v>2156.66</v>
      </c>
      <c r="F13" s="13">
        <f>'AGO-21'!O16</f>
        <v>0</v>
      </c>
      <c r="G13" s="13">
        <f>'AGO-21'!P18</f>
        <v>2666.5878600000001</v>
      </c>
      <c r="H13" s="14">
        <f>'AGO-21'!Q16</f>
        <v>13497.170000000002</v>
      </c>
      <c r="I13" s="14">
        <f>'AGO-21'!R16</f>
        <v>9200.74</v>
      </c>
      <c r="J13" s="378">
        <f t="shared" si="0"/>
        <v>27642.01786</v>
      </c>
      <c r="K13" s="11"/>
      <c r="L13" s="12">
        <f>J13-'AGO-21'!S16</f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24.75" customHeight="1">
      <c r="A14" s="398" t="s">
        <v>169</v>
      </c>
      <c r="B14" s="368" t="s">
        <v>21</v>
      </c>
      <c r="C14" s="10" t="s">
        <v>12</v>
      </c>
      <c r="D14" s="13">
        <f>'SET-21'!M14</f>
        <v>114.66</v>
      </c>
      <c r="E14" s="13">
        <f>'SET-21'!N14</f>
        <v>2535.81</v>
      </c>
      <c r="F14" s="13">
        <f>'SET-21'!O14</f>
        <v>0</v>
      </c>
      <c r="G14" s="13">
        <f>'SET-21'!P16</f>
        <v>3983.0056999999997</v>
      </c>
      <c r="H14" s="14">
        <f>'SET-21'!Q14</f>
        <v>15014.939999999999</v>
      </c>
      <c r="I14" s="14">
        <f>'SET-21'!R14</f>
        <v>10890.16</v>
      </c>
      <c r="J14" s="378">
        <f t="shared" si="0"/>
        <v>32538.575699999998</v>
      </c>
      <c r="K14" s="11"/>
      <c r="L14" s="12">
        <f>J14-'SET-21'!S14</f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24.75" customHeight="1">
      <c r="A15" s="398" t="s">
        <v>169</v>
      </c>
      <c r="B15" s="368" t="s">
        <v>22</v>
      </c>
      <c r="C15" s="10" t="s">
        <v>12</v>
      </c>
      <c r="D15" s="13">
        <f>'OUT-21'!M14</f>
        <v>128.04</v>
      </c>
      <c r="E15" s="13">
        <f>'OUT-21'!N14</f>
        <v>2282.0899999999997</v>
      </c>
      <c r="F15" s="13">
        <f>'OUT-21'!O14</f>
        <v>0</v>
      </c>
      <c r="G15" s="13">
        <f>'OUT-21'!P16</f>
        <v>5057.7062999999989</v>
      </c>
      <c r="H15" s="14">
        <f>'OUT-21'!Q14</f>
        <v>16242.689999999999</v>
      </c>
      <c r="I15" s="14">
        <f>'OUT-21'!R14</f>
        <v>9232.4600000000009</v>
      </c>
      <c r="J15" s="378">
        <f t="shared" si="0"/>
        <v>32942.986299999997</v>
      </c>
      <c r="K15" s="11"/>
      <c r="L15" s="12">
        <f>J15-'OUT-21'!S14</f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4.75" customHeight="1">
      <c r="A16" s="398" t="s">
        <v>169</v>
      </c>
      <c r="B16" s="368" t="s">
        <v>23</v>
      </c>
      <c r="C16" s="10" t="s">
        <v>12</v>
      </c>
      <c r="D16" s="13">
        <f>'NOV-21'!M8</f>
        <v>553.13</v>
      </c>
      <c r="E16" s="13">
        <f>'NOV-21'!N8</f>
        <v>287.75</v>
      </c>
      <c r="F16" s="13">
        <f>'NOV-21'!O8</f>
        <v>0</v>
      </c>
      <c r="G16" s="13">
        <f>'NOV-21'!P10</f>
        <v>0</v>
      </c>
      <c r="H16" s="14">
        <f>'NOV-21'!Q8</f>
        <v>5071.78</v>
      </c>
      <c r="I16" s="14">
        <f>'NOV-21'!R8</f>
        <v>3708.13</v>
      </c>
      <c r="J16" s="378">
        <f t="shared" si="0"/>
        <v>9620.7900000000009</v>
      </c>
      <c r="K16" s="11"/>
      <c r="L16" s="12">
        <f>J16-'NOV-21'!S8</f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24.75" customHeight="1" thickBot="1">
      <c r="A17" s="398" t="s">
        <v>169</v>
      </c>
      <c r="B17" s="369" t="s">
        <v>24</v>
      </c>
      <c r="C17" s="395" t="s">
        <v>12</v>
      </c>
      <c r="D17" s="370">
        <f>'DEZ-21'!M9</f>
        <v>0</v>
      </c>
      <c r="E17" s="370">
        <f>'DEZ-21'!N9</f>
        <v>0</v>
      </c>
      <c r="F17" s="370">
        <f>'DEZ-21'!O9</f>
        <v>0</v>
      </c>
      <c r="G17" s="370">
        <f>'DEZ-21'!P11</f>
        <v>0</v>
      </c>
      <c r="H17" s="371">
        <f>'DEZ-21'!Q9</f>
        <v>0</v>
      </c>
      <c r="I17" s="371">
        <f>'DEZ-21'!R9</f>
        <v>0</v>
      </c>
      <c r="J17" s="379">
        <f t="shared" si="0"/>
        <v>0</v>
      </c>
      <c r="K17" s="11"/>
      <c r="L17" s="12">
        <f>J17-'DEZ-21'!S9</f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thickBot="1">
      <c r="A18" s="15"/>
      <c r="B18" s="15"/>
      <c r="C18" s="16"/>
      <c r="D18" s="17"/>
      <c r="E18" s="17"/>
      <c r="F18" s="18"/>
      <c r="G18" s="18"/>
      <c r="H18" s="19"/>
      <c r="I18" s="20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.75">
      <c r="A19" s="22"/>
      <c r="B19" s="22"/>
      <c r="C19" s="23" t="s">
        <v>25</v>
      </c>
      <c r="D19" s="380">
        <f t="shared" ref="D19:I19" si="1">SUM(D6:D17)</f>
        <v>1435.07</v>
      </c>
      <c r="E19" s="381">
        <f t="shared" si="1"/>
        <v>10322.780000000001</v>
      </c>
      <c r="F19" s="380">
        <f t="shared" si="1"/>
        <v>0</v>
      </c>
      <c r="G19" s="380">
        <f t="shared" si="1"/>
        <v>12606.73516</v>
      </c>
      <c r="H19" s="382">
        <f t="shared" si="1"/>
        <v>71599.39</v>
      </c>
      <c r="I19" s="382">
        <f t="shared" si="1"/>
        <v>43212.9</v>
      </c>
      <c r="J19" s="24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5.75">
      <c r="A20" s="25"/>
      <c r="B20" s="25"/>
      <c r="C20" s="25"/>
      <c r="D20" s="406"/>
      <c r="E20" s="402"/>
      <c r="F20" s="26"/>
      <c r="G20" s="26"/>
      <c r="H20" s="25"/>
      <c r="I20" s="25"/>
      <c r="J20" s="27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.75" customHeight="1">
      <c r="A21" s="25"/>
      <c r="B21" s="25"/>
      <c r="C21" s="25"/>
      <c r="D21" s="25"/>
      <c r="E21" s="28"/>
      <c r="F21" s="26"/>
      <c r="G21" s="26"/>
      <c r="H21" s="29"/>
      <c r="I21" s="30"/>
      <c r="J21" s="3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5.75" customHeight="1">
      <c r="A22" s="25"/>
      <c r="B22" s="25"/>
      <c r="C22" s="25"/>
      <c r="D22" s="407"/>
      <c r="E22" s="402"/>
      <c r="F22" s="32"/>
      <c r="G22" s="26"/>
      <c r="H22" s="33" t="s">
        <v>26</v>
      </c>
      <c r="I22" s="34">
        <f>D19+E19+F19+G19+H19+I19</f>
        <v>139176.87516</v>
      </c>
      <c r="J22" s="3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5.75" customHeight="1">
      <c r="B23" s="2" t="s">
        <v>27</v>
      </c>
      <c r="C23" s="2"/>
      <c r="D23" s="36">
        <v>45027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37" t="s">
        <v>28</v>
      </c>
    </row>
    <row r="25" spans="1:28" ht="15.75" customHeight="1">
      <c r="B25" s="400"/>
      <c r="C25" s="399"/>
      <c r="D25" s="1"/>
      <c r="E25" s="2"/>
      <c r="F25" s="3"/>
      <c r="G25" s="3"/>
      <c r="H25" s="4"/>
      <c r="I25" s="5"/>
      <c r="J25" s="38">
        <f>I22-J6-J7-J8-J9-J10-J11-J12-J13-J14-J15-J16-J17</f>
        <v>-1.4551915228366852E-11</v>
      </c>
    </row>
    <row r="26" spans="1:28" ht="15.75" customHeight="1">
      <c r="B26" s="39"/>
      <c r="C26" s="39"/>
      <c r="D26" s="39"/>
      <c r="E26" s="2"/>
      <c r="F26" s="3"/>
      <c r="G26" s="3"/>
      <c r="H26" s="4"/>
      <c r="I26" s="5"/>
      <c r="J26" s="5"/>
    </row>
    <row r="27" spans="1:28" ht="15.75" customHeight="1">
      <c r="B27" s="39" t="s">
        <v>29</v>
      </c>
      <c r="C27" s="39"/>
      <c r="D27" s="39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329" t="s">
        <v>30</v>
      </c>
      <c r="C29" s="329"/>
      <c r="D29" s="329"/>
      <c r="E29" s="330"/>
      <c r="F29" s="3"/>
      <c r="G29" s="3"/>
      <c r="H29" s="4"/>
      <c r="I29" s="5"/>
      <c r="J29" s="5"/>
    </row>
    <row r="30" spans="1:28" ht="15.75" customHeight="1">
      <c r="B30" s="40" t="s">
        <v>31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40" t="s">
        <v>32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topLeftCell="A4" workbookViewId="0">
      <selection activeCell="E12" sqref="E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24.75" customHeight="1" thickBot="1">
      <c r="A2" s="42"/>
      <c r="B2" s="408" t="s">
        <v>64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2"/>
      <c r="B3" s="6"/>
      <c r="C3" s="6"/>
      <c r="D3" s="6"/>
      <c r="E3" s="6"/>
      <c r="F3" s="317"/>
      <c r="G3" s="6"/>
      <c r="H3" s="6"/>
      <c r="I3" s="6"/>
      <c r="J3" s="6"/>
      <c r="K3" s="6"/>
      <c r="L3" s="117"/>
      <c r="M3" s="424" t="s">
        <v>0</v>
      </c>
      <c r="N3" s="413"/>
      <c r="O3" s="414"/>
      <c r="P3" s="338" t="s">
        <v>33</v>
      </c>
      <c r="Q3" s="425" t="s">
        <v>34</v>
      </c>
      <c r="R3" s="413"/>
      <c r="S3" s="41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325" t="s">
        <v>35</v>
      </c>
      <c r="C4" s="326" t="s">
        <v>36</v>
      </c>
      <c r="D4" s="327" t="s">
        <v>37</v>
      </c>
      <c r="E4" s="325" t="s">
        <v>38</v>
      </c>
      <c r="F4" s="325" t="s">
        <v>39</v>
      </c>
      <c r="G4" s="328" t="s">
        <v>40</v>
      </c>
      <c r="H4" s="325" t="s">
        <v>41</v>
      </c>
      <c r="I4" s="325" t="s">
        <v>42</v>
      </c>
      <c r="J4" s="426" t="s">
        <v>43</v>
      </c>
      <c r="K4" s="413"/>
      <c r="L4" s="413"/>
      <c r="M4" s="433" t="s">
        <v>4</v>
      </c>
      <c r="N4" s="434" t="s">
        <v>5</v>
      </c>
      <c r="O4" s="435" t="s">
        <v>6</v>
      </c>
      <c r="P4" s="436" t="s">
        <v>4</v>
      </c>
      <c r="Q4" s="437" t="s">
        <v>8</v>
      </c>
      <c r="R4" s="438" t="s">
        <v>9</v>
      </c>
      <c r="S4" s="439" t="s">
        <v>45</v>
      </c>
    </row>
    <row r="5" spans="1:37" ht="38.25" customHeight="1">
      <c r="A5" s="11"/>
      <c r="B5" s="179">
        <v>1</v>
      </c>
      <c r="C5" s="180" t="s">
        <v>124</v>
      </c>
      <c r="D5" s="312" t="s">
        <v>96</v>
      </c>
      <c r="E5" s="180" t="s">
        <v>181</v>
      </c>
      <c r="F5" s="186" t="s">
        <v>111</v>
      </c>
      <c r="G5" s="186" t="s">
        <v>92</v>
      </c>
      <c r="H5" s="185" t="str">
        <f t="shared" ref="H5:H13" si="0">UPPER(G5)</f>
        <v xml:space="preserve"> REALIZAÇÃO DE PILOTO DO PROJETO DROGÔMETROS - TREINAMENTO TEÓRICO E PRÁTICO COM A PRF</v>
      </c>
      <c r="I5" s="186" t="s">
        <v>47</v>
      </c>
      <c r="J5" s="187">
        <v>44440</v>
      </c>
      <c r="K5" s="181">
        <v>20</v>
      </c>
      <c r="L5" s="188">
        <v>25</v>
      </c>
      <c r="M5" s="189">
        <v>0</v>
      </c>
      <c r="N5" s="189">
        <v>264.66000000000003</v>
      </c>
      <c r="O5" s="334"/>
      <c r="P5" s="332">
        <f>61.3+25.3+24.1+31+18.1+23+25.7+25.8+34+135</f>
        <v>403.29999999999995</v>
      </c>
      <c r="Q5" s="192">
        <v>1339.21</v>
      </c>
      <c r="R5" s="193">
        <f>1219.99+430.33</f>
        <v>1650.32</v>
      </c>
      <c r="S5" s="194">
        <f t="shared" ref="S5:S13" si="1">M5+N5+O5+P5+Q5+R5</f>
        <v>3657.49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62" customFormat="1" ht="42" customHeight="1">
      <c r="A6" s="11"/>
      <c r="B6" s="295">
        <v>2</v>
      </c>
      <c r="C6" s="165" t="s">
        <v>125</v>
      </c>
      <c r="D6" s="298" t="s">
        <v>97</v>
      </c>
      <c r="E6" s="166" t="s">
        <v>179</v>
      </c>
      <c r="F6" s="171" t="s">
        <v>111</v>
      </c>
      <c r="G6" s="171" t="s">
        <v>92</v>
      </c>
      <c r="H6" s="293" t="str">
        <f t="shared" si="0"/>
        <v xml:space="preserve"> REALIZAÇÃO DE PILOTO DO PROJETO DROGÔMETROS - TREINAMENTO TEÓRICO E PRÁTICO COM A PRF</v>
      </c>
      <c r="I6" s="171" t="s">
        <v>133</v>
      </c>
      <c r="J6" s="172">
        <v>44440</v>
      </c>
      <c r="K6" s="168">
        <v>19</v>
      </c>
      <c r="L6" s="173">
        <v>22</v>
      </c>
      <c r="M6" s="176">
        <v>0</v>
      </c>
      <c r="N6" s="176">
        <v>336.68</v>
      </c>
      <c r="O6" s="335"/>
      <c r="P6" s="331">
        <f>151+151</f>
        <v>302</v>
      </c>
      <c r="Q6" s="174">
        <v>1847.69</v>
      </c>
      <c r="R6" s="175">
        <v>594.26</v>
      </c>
      <c r="S6" s="276">
        <f t="shared" si="1"/>
        <v>3080.63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s="162" customFormat="1" ht="38.25" customHeight="1">
      <c r="A7" s="11"/>
      <c r="B7" s="295">
        <v>3</v>
      </c>
      <c r="C7" s="166" t="s">
        <v>126</v>
      </c>
      <c r="D7" s="298" t="s">
        <v>98</v>
      </c>
      <c r="E7" s="165" t="s">
        <v>180</v>
      </c>
      <c r="F7" s="171" t="s">
        <v>111</v>
      </c>
      <c r="G7" s="171" t="s">
        <v>92</v>
      </c>
      <c r="H7" s="293" t="str">
        <f t="shared" si="0"/>
        <v xml:space="preserve"> REALIZAÇÃO DE PILOTO DO PROJETO DROGÔMETROS - TREINAMENTO TEÓRICO E PRÁTICO COM A PRF</v>
      </c>
      <c r="I7" s="171" t="s">
        <v>116</v>
      </c>
      <c r="J7" s="172">
        <v>44440</v>
      </c>
      <c r="K7" s="168">
        <v>19</v>
      </c>
      <c r="L7" s="173">
        <v>24</v>
      </c>
      <c r="M7" s="176">
        <v>0</v>
      </c>
      <c r="N7" s="176">
        <v>272.45</v>
      </c>
      <c r="O7" s="335"/>
      <c r="P7" s="331">
        <f>40.5+25+11.1+21.7+10.7+24.5+22.7+23.5+23.1+24+39+22.9</f>
        <v>288.69999999999993</v>
      </c>
      <c r="Q7" s="174">
        <v>2311.02</v>
      </c>
      <c r="R7" s="175">
        <f>1621.5+555.5</f>
        <v>2177</v>
      </c>
      <c r="S7" s="276">
        <f t="shared" si="1"/>
        <v>5049.17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s="162" customFormat="1" ht="38.25" customHeight="1">
      <c r="A8" s="11"/>
      <c r="B8" s="295">
        <v>4</v>
      </c>
      <c r="C8" s="165" t="s">
        <v>127</v>
      </c>
      <c r="D8" s="298" t="s">
        <v>99</v>
      </c>
      <c r="E8" s="165" t="s">
        <v>181</v>
      </c>
      <c r="F8" s="171" t="s">
        <v>111</v>
      </c>
      <c r="G8" s="171" t="s">
        <v>92</v>
      </c>
      <c r="H8" s="293" t="str">
        <f t="shared" si="0"/>
        <v xml:space="preserve"> REALIZAÇÃO DE PILOTO DO PROJETO DROGÔMETROS - TREINAMENTO TEÓRICO E PRÁTICO COM A PRF</v>
      </c>
      <c r="I8" s="171" t="s">
        <v>134</v>
      </c>
      <c r="J8" s="172">
        <v>44440</v>
      </c>
      <c r="K8" s="168">
        <v>19</v>
      </c>
      <c r="L8" s="173">
        <v>23</v>
      </c>
      <c r="M8" s="176">
        <v>0</v>
      </c>
      <c r="N8" s="176">
        <v>371.54</v>
      </c>
      <c r="O8" s="335"/>
      <c r="P8" s="331">
        <f>113.1+113.5+71.35+46.35+57.85+66.35</f>
        <v>468.5</v>
      </c>
      <c r="Q8" s="174">
        <v>633.07000000000005</v>
      </c>
      <c r="R8" s="175">
        <f>706.58+15</f>
        <v>721.58</v>
      </c>
      <c r="S8" s="276">
        <f t="shared" si="1"/>
        <v>2194.69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162" customFormat="1" ht="38.25" customHeight="1">
      <c r="A9" s="11"/>
      <c r="B9" s="295">
        <v>5</v>
      </c>
      <c r="C9" s="166" t="s">
        <v>128</v>
      </c>
      <c r="D9" s="298" t="s">
        <v>99</v>
      </c>
      <c r="E9" s="431" t="s">
        <v>181</v>
      </c>
      <c r="F9" s="171" t="s">
        <v>111</v>
      </c>
      <c r="G9" s="171" t="s">
        <v>92</v>
      </c>
      <c r="H9" s="293" t="str">
        <f t="shared" si="0"/>
        <v xml:space="preserve"> REALIZAÇÃO DE PILOTO DO PROJETO DROGÔMETROS - TREINAMENTO TEÓRICO E PRÁTICO COM A PRF</v>
      </c>
      <c r="I9" s="171" t="s">
        <v>135</v>
      </c>
      <c r="J9" s="172">
        <v>44440</v>
      </c>
      <c r="K9" s="168">
        <v>26</v>
      </c>
      <c r="L9" s="173">
        <v>30</v>
      </c>
      <c r="M9" s="176">
        <v>48.46</v>
      </c>
      <c r="N9" s="176">
        <v>226.68</v>
      </c>
      <c r="O9" s="335"/>
      <c r="P9" s="331">
        <f>113.1+113.1+113.1</f>
        <v>339.29999999999995</v>
      </c>
      <c r="Q9" s="174">
        <v>2120.9499999999998</v>
      </c>
      <c r="R9" s="175">
        <f>736+211.2</f>
        <v>947.2</v>
      </c>
      <c r="S9" s="276">
        <f t="shared" si="1"/>
        <v>3682.59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162" customFormat="1" ht="38.25" customHeight="1">
      <c r="A10" s="11"/>
      <c r="B10" s="295">
        <v>6</v>
      </c>
      <c r="C10" s="166" t="s">
        <v>129</v>
      </c>
      <c r="D10" s="298" t="s">
        <v>95</v>
      </c>
      <c r="E10" s="166" t="s">
        <v>177</v>
      </c>
      <c r="F10" s="171" t="s">
        <v>111</v>
      </c>
      <c r="G10" s="171" t="s">
        <v>92</v>
      </c>
      <c r="H10" s="293" t="str">
        <f t="shared" si="0"/>
        <v xml:space="preserve"> REALIZAÇÃO DE PILOTO DO PROJETO DROGÔMETROS - TREINAMENTO TEÓRICO E PRÁTICO COM A PRF</v>
      </c>
      <c r="I10" s="171" t="s">
        <v>53</v>
      </c>
      <c r="J10" s="172">
        <v>44440</v>
      </c>
      <c r="K10" s="168">
        <v>19</v>
      </c>
      <c r="L10" s="173">
        <v>24</v>
      </c>
      <c r="M10" s="176">
        <v>66.2</v>
      </c>
      <c r="N10" s="176">
        <v>162.6</v>
      </c>
      <c r="O10" s="335"/>
      <c r="P10" s="331">
        <f>78+80+230+230+230+230+80+70+20+78</f>
        <v>1326</v>
      </c>
      <c r="Q10" s="174">
        <f>912.79+876.2</f>
        <v>1788.99</v>
      </c>
      <c r="R10" s="175">
        <f>1635.35+494.45</f>
        <v>2129.7999999999997</v>
      </c>
      <c r="S10" s="276">
        <f t="shared" si="1"/>
        <v>5473.59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162" customFormat="1" ht="36.75" customHeight="1">
      <c r="A11" s="11"/>
      <c r="B11" s="295">
        <v>7</v>
      </c>
      <c r="C11" s="166" t="s">
        <v>130</v>
      </c>
      <c r="D11" s="298" t="s">
        <v>95</v>
      </c>
      <c r="E11" s="432" t="s">
        <v>177</v>
      </c>
      <c r="F11" s="171" t="s">
        <v>111</v>
      </c>
      <c r="G11" s="171" t="s">
        <v>92</v>
      </c>
      <c r="H11" s="293" t="str">
        <f t="shared" si="0"/>
        <v xml:space="preserve"> REALIZAÇÃO DE PILOTO DO PROJETO DROGÔMETROS - TREINAMENTO TEÓRICO E PRÁTICO COM A PRF</v>
      </c>
      <c r="I11" s="171" t="s">
        <v>120</v>
      </c>
      <c r="J11" s="172" t="s">
        <v>136</v>
      </c>
      <c r="K11" s="168">
        <v>28</v>
      </c>
      <c r="L11" s="173">
        <v>1</v>
      </c>
      <c r="M11" s="176">
        <v>0</v>
      </c>
      <c r="N11" s="176">
        <v>248.4</v>
      </c>
      <c r="O11" s="335"/>
      <c r="P11" s="331">
        <f>74.41+67.61+46</f>
        <v>188.01999999999998</v>
      </c>
      <c r="Q11" s="174">
        <f>993.79+864.45</f>
        <v>1858.24</v>
      </c>
      <c r="R11" s="175">
        <f>866.25+36</f>
        <v>902.25</v>
      </c>
      <c r="S11" s="276">
        <f t="shared" si="1"/>
        <v>3196.91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33" customHeight="1">
      <c r="A12" s="11"/>
      <c r="B12" s="295">
        <v>8</v>
      </c>
      <c r="C12" s="165" t="s">
        <v>131</v>
      </c>
      <c r="D12" s="298" t="s">
        <v>97</v>
      </c>
      <c r="E12" s="166" t="s">
        <v>179</v>
      </c>
      <c r="F12" s="171" t="s">
        <v>111</v>
      </c>
      <c r="G12" s="171" t="s">
        <v>92</v>
      </c>
      <c r="H12" s="48" t="str">
        <f t="shared" si="0"/>
        <v xml:space="preserve"> REALIZAÇÃO DE PILOTO DO PROJETO DROGÔMETROS - TREINAMENTO TEÓRICO E PRÁTICO COM A PRF</v>
      </c>
      <c r="I12" s="171" t="s">
        <v>49</v>
      </c>
      <c r="J12" s="172">
        <v>44440</v>
      </c>
      <c r="K12" s="168">
        <v>26</v>
      </c>
      <c r="L12" s="173">
        <v>30</v>
      </c>
      <c r="M12" s="176">
        <v>0</v>
      </c>
      <c r="N12" s="176">
        <v>308.91000000000003</v>
      </c>
      <c r="O12" s="336"/>
      <c r="P12" s="331">
        <f>57.15+52.8</f>
        <v>109.94999999999999</v>
      </c>
      <c r="Q12" s="174">
        <f>666.79+1364.23</f>
        <v>2031.02</v>
      </c>
      <c r="R12" s="175">
        <f>1173+26.4</f>
        <v>1199.4000000000001</v>
      </c>
      <c r="S12" s="276">
        <f t="shared" si="1"/>
        <v>3649.28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38.25" customHeight="1" thickBot="1">
      <c r="A13" s="11"/>
      <c r="B13" s="199">
        <v>9</v>
      </c>
      <c r="C13" s="314" t="s">
        <v>132</v>
      </c>
      <c r="D13" s="315" t="s">
        <v>98</v>
      </c>
      <c r="E13" s="314" t="s">
        <v>180</v>
      </c>
      <c r="F13" s="205" t="s">
        <v>111</v>
      </c>
      <c r="G13" s="205" t="s">
        <v>92</v>
      </c>
      <c r="H13" s="204" t="str">
        <f t="shared" si="0"/>
        <v xml:space="preserve"> REALIZAÇÃO DE PILOTO DO PROJETO DROGÔMETROS - TREINAMENTO TEÓRICO E PRÁTICO COM A PRF</v>
      </c>
      <c r="I13" s="205" t="s">
        <v>115</v>
      </c>
      <c r="J13" s="206">
        <v>44440</v>
      </c>
      <c r="K13" s="207">
        <v>26</v>
      </c>
      <c r="L13" s="208">
        <v>29</v>
      </c>
      <c r="M13" s="209">
        <v>0</v>
      </c>
      <c r="N13" s="209">
        <v>343.89</v>
      </c>
      <c r="O13" s="337"/>
      <c r="P13" s="333">
        <f>155+20.2+32.6+20.2+23+20.2+21+74.1+71.5+80</f>
        <v>517.79999999999995</v>
      </c>
      <c r="Q13" s="212">
        <v>1084.75</v>
      </c>
      <c r="R13" s="213">
        <f>532.35+36</f>
        <v>568.35</v>
      </c>
      <c r="S13" s="214">
        <f t="shared" si="1"/>
        <v>2514.79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24.75" customHeight="1">
      <c r="A14" s="22"/>
      <c r="B14" s="22"/>
      <c r="C14" s="22"/>
      <c r="D14" s="22"/>
      <c r="E14" s="22"/>
      <c r="F14" s="22"/>
      <c r="G14" s="22"/>
      <c r="H14" s="22"/>
      <c r="I14" s="76"/>
      <c r="J14" s="22"/>
      <c r="K14" s="15"/>
      <c r="L14" s="22"/>
      <c r="M14" s="93">
        <f t="shared" ref="M14:R14" si="2">SUM(M5:M13)</f>
        <v>114.66</v>
      </c>
      <c r="N14" s="93">
        <f t="shared" si="2"/>
        <v>2535.81</v>
      </c>
      <c r="O14" s="93">
        <f t="shared" si="2"/>
        <v>0</v>
      </c>
      <c r="P14" s="98">
        <f t="shared" si="2"/>
        <v>3943.5699999999997</v>
      </c>
      <c r="Q14" s="118">
        <f t="shared" si="2"/>
        <v>15014.939999999999</v>
      </c>
      <c r="R14" s="119">
        <f t="shared" si="2"/>
        <v>10890.16</v>
      </c>
      <c r="S14" s="120">
        <f>SUM(S5:S13)+P15</f>
        <v>32538.575700000001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24.75" customHeight="1">
      <c r="A15" s="25"/>
      <c r="B15" s="25"/>
      <c r="C15" s="25"/>
      <c r="D15" s="406"/>
      <c r="E15" s="402"/>
      <c r="F15" s="402"/>
      <c r="G15" s="402"/>
      <c r="H15" s="402"/>
      <c r="I15" s="402"/>
      <c r="J15" s="402"/>
      <c r="K15" s="402"/>
      <c r="L15" s="25"/>
      <c r="M15" s="26"/>
      <c r="N15" s="26"/>
      <c r="O15" s="81" t="s">
        <v>14</v>
      </c>
      <c r="P15" s="12">
        <f>P14*1%</f>
        <v>39.435699999999997</v>
      </c>
      <c r="Q15" s="25"/>
      <c r="R15" s="25"/>
      <c r="S15" s="30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24.75" customHeight="1">
      <c r="A16" s="25"/>
      <c r="B16" s="25"/>
      <c r="C16" s="25"/>
      <c r="D16" s="358" t="s">
        <v>50</v>
      </c>
      <c r="E16" s="75"/>
      <c r="F16" s="75"/>
      <c r="G16" s="75"/>
      <c r="H16" s="75"/>
      <c r="I16" s="28"/>
      <c r="J16" s="25"/>
      <c r="K16" s="25"/>
      <c r="L16" s="26"/>
      <c r="M16" s="26"/>
      <c r="N16" s="26"/>
      <c r="O16" s="26"/>
      <c r="P16" s="82">
        <f>P14+P15</f>
        <v>3983.0056999999997</v>
      </c>
      <c r="Q16" s="29"/>
      <c r="R16" s="30"/>
      <c r="S16" s="83" t="s">
        <v>51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24.75" customHeight="1">
      <c r="A17" s="25"/>
      <c r="B17" s="25"/>
      <c r="C17" s="25"/>
      <c r="D17" s="407"/>
      <c r="E17" s="402"/>
      <c r="F17" s="402"/>
      <c r="G17" s="402"/>
      <c r="H17" s="402"/>
      <c r="I17" s="402"/>
      <c r="J17" s="402"/>
      <c r="K17" s="402"/>
      <c r="L17" s="25"/>
      <c r="M17" s="26"/>
      <c r="N17" s="26"/>
      <c r="O17" s="26"/>
      <c r="P17" s="12"/>
      <c r="Q17" s="4" t="s">
        <v>26</v>
      </c>
      <c r="R17" s="84">
        <f>M14+N14+O14+P16+Q14+R14</f>
        <v>32538.575699999998</v>
      </c>
      <c r="S17" s="35">
        <f>S14-R17</f>
        <v>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ht="24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81" t="s">
        <v>14</v>
      </c>
      <c r="P18" s="12" t="s">
        <v>52</v>
      </c>
      <c r="Q18" s="4"/>
      <c r="R18" s="5"/>
      <c r="S18" s="5"/>
    </row>
    <row r="19" spans="1:37" ht="24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1:37" ht="24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1:37" ht="24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1:37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1:37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12"/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12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12"/>
      <c r="Q25" s="4"/>
      <c r="R25" s="5"/>
      <c r="S25" s="5"/>
    </row>
    <row r="26" spans="1:37" ht="24.75" customHeight="1">
      <c r="C26" s="1"/>
      <c r="I26" s="2"/>
      <c r="J26" s="41"/>
      <c r="K26" s="41"/>
      <c r="L26" s="41"/>
      <c r="M26" s="3"/>
      <c r="N26" s="3"/>
      <c r="O26" s="3"/>
      <c r="P26" s="12"/>
      <c r="Q26" s="4"/>
      <c r="R26" s="5"/>
      <c r="S26" s="5"/>
    </row>
    <row r="27" spans="1:37" ht="24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  <c r="P27" s="12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P28" s="85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  <c r="P29" s="25"/>
    </row>
    <row r="30" spans="1:37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  <c r="P30" s="25"/>
    </row>
    <row r="31" spans="1:37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  <c r="P31" s="25"/>
    </row>
    <row r="32" spans="1:37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2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2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2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2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2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2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2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2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2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2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2" ht="24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2" ht="24.75" customHeight="1">
      <c r="C92" s="1"/>
      <c r="D92" s="1"/>
      <c r="E92" s="1"/>
      <c r="F92" s="1"/>
      <c r="G92" s="1"/>
      <c r="H92" s="1"/>
      <c r="I92" s="2"/>
      <c r="J92" s="41"/>
      <c r="K92" s="41"/>
      <c r="L92" s="41"/>
    </row>
    <row r="93" spans="3:12" ht="24.75" customHeight="1">
      <c r="C93" s="1"/>
      <c r="D93" s="1"/>
      <c r="E93" s="1"/>
      <c r="F93" s="1"/>
      <c r="G93" s="1"/>
      <c r="H93" s="1"/>
      <c r="I93" s="2"/>
      <c r="J93" s="41"/>
      <c r="K93" s="41"/>
      <c r="L93" s="41"/>
    </row>
    <row r="94" spans="3:12" ht="24.75" customHeight="1">
      <c r="C94" s="1"/>
      <c r="D94" s="1"/>
      <c r="E94" s="1"/>
      <c r="F94" s="1"/>
      <c r="G94" s="1"/>
      <c r="H94" s="1"/>
      <c r="I94" s="2"/>
      <c r="J94" s="41"/>
      <c r="K94" s="41"/>
      <c r="L94" s="41"/>
    </row>
    <row r="95" spans="3:12" ht="24.75" customHeight="1">
      <c r="C95" s="1"/>
      <c r="D95" s="1"/>
      <c r="E95" s="1"/>
      <c r="F95" s="1"/>
      <c r="G95" s="1"/>
      <c r="H95" s="1"/>
      <c r="I95" s="2"/>
      <c r="J95" s="41"/>
      <c r="K95" s="41"/>
      <c r="L95" s="41"/>
    </row>
    <row r="96" spans="3:12" ht="24.75" customHeight="1">
      <c r="C96" s="1"/>
      <c r="D96" s="1"/>
      <c r="E96" s="1"/>
      <c r="F96" s="1"/>
      <c r="G96" s="1"/>
      <c r="H96" s="1"/>
      <c r="I96" s="2"/>
      <c r="J96" s="41"/>
      <c r="K96" s="41"/>
      <c r="L96" s="41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</sheetData>
  <sheetProtection password="CC27" sheet="1" objects="1" scenarios="1"/>
  <mergeCells count="6">
    <mergeCell ref="D17:K17"/>
    <mergeCell ref="B2:S2"/>
    <mergeCell ref="M3:O3"/>
    <mergeCell ref="Q3:S3"/>
    <mergeCell ref="J4:L4"/>
    <mergeCell ref="D15:K15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topLeftCell="A2" workbookViewId="0">
      <selection activeCell="D6" sqref="D6"/>
    </sheetView>
  </sheetViews>
  <sheetFormatPr defaultColWidth="12.625" defaultRowHeight="15" customHeight="1"/>
  <cols>
    <col min="1" max="1" width="2.375" style="164" customWidth="1"/>
    <col min="2" max="2" width="6.5" style="164" customWidth="1"/>
    <col min="3" max="3" width="19.875" style="164" hidden="1" customWidth="1"/>
    <col min="4" max="4" width="34" style="164" customWidth="1"/>
    <col min="5" max="5" width="18.125" style="164" customWidth="1"/>
    <col min="6" max="6" width="34" style="164" customWidth="1"/>
    <col min="7" max="7" width="34" style="164" hidden="1" customWidth="1"/>
    <col min="8" max="8" width="34" style="164" customWidth="1"/>
    <col min="9" max="9" width="22.375" style="164" customWidth="1"/>
    <col min="10" max="11" width="8" style="164" customWidth="1"/>
    <col min="12" max="12" width="8.5" style="164" customWidth="1"/>
    <col min="13" max="15" width="12.375" style="164" customWidth="1"/>
    <col min="16" max="16" width="11.875" style="164" customWidth="1"/>
    <col min="17" max="17" width="14.25" style="164" customWidth="1"/>
    <col min="18" max="18" width="13" style="164" customWidth="1"/>
    <col min="19" max="19" width="15.75" style="164" customWidth="1"/>
    <col min="20" max="37" width="7.625" style="164" customWidth="1"/>
    <col min="38" max="16384" width="12.625" style="164"/>
  </cols>
  <sheetData>
    <row r="1" spans="1:37" ht="24.75" customHeight="1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24.75" customHeight="1" thickBot="1">
      <c r="A2" s="42"/>
      <c r="B2" s="408" t="s">
        <v>65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2"/>
      <c r="B3" s="163"/>
      <c r="C3" s="163"/>
      <c r="D3" s="163"/>
      <c r="E3" s="163"/>
      <c r="F3" s="317"/>
      <c r="G3" s="163"/>
      <c r="H3" s="163"/>
      <c r="I3" s="163"/>
      <c r="J3" s="163"/>
      <c r="K3" s="163"/>
      <c r="L3" s="117"/>
      <c r="M3" s="424" t="s">
        <v>0</v>
      </c>
      <c r="N3" s="413"/>
      <c r="O3" s="414"/>
      <c r="P3" s="338" t="s">
        <v>33</v>
      </c>
      <c r="Q3" s="425" t="s">
        <v>34</v>
      </c>
      <c r="R3" s="413"/>
      <c r="S3" s="41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353" t="s">
        <v>35</v>
      </c>
      <c r="C4" s="354" t="s">
        <v>36</v>
      </c>
      <c r="D4" s="355" t="s">
        <v>37</v>
      </c>
      <c r="E4" s="356" t="s">
        <v>38</v>
      </c>
      <c r="F4" s="356" t="s">
        <v>39</v>
      </c>
      <c r="G4" s="357" t="s">
        <v>40</v>
      </c>
      <c r="H4" s="356" t="s">
        <v>41</v>
      </c>
      <c r="I4" s="356" t="s">
        <v>42</v>
      </c>
      <c r="J4" s="427" t="s">
        <v>43</v>
      </c>
      <c r="K4" s="422"/>
      <c r="L4" s="422"/>
      <c r="M4" s="340" t="s">
        <v>4</v>
      </c>
      <c r="N4" s="341" t="s">
        <v>5</v>
      </c>
      <c r="O4" s="342" t="s">
        <v>6</v>
      </c>
      <c r="P4" s="343" t="s">
        <v>4</v>
      </c>
      <c r="Q4" s="344" t="s">
        <v>8</v>
      </c>
      <c r="R4" s="345" t="s">
        <v>9</v>
      </c>
      <c r="S4" s="346" t="s">
        <v>45</v>
      </c>
    </row>
    <row r="5" spans="1:37" ht="38.25" customHeight="1">
      <c r="A5" s="11"/>
      <c r="B5" s="179">
        <v>1</v>
      </c>
      <c r="C5" s="180" t="s">
        <v>137</v>
      </c>
      <c r="D5" s="312" t="s">
        <v>96</v>
      </c>
      <c r="E5" s="180" t="s">
        <v>181</v>
      </c>
      <c r="F5" s="186" t="s">
        <v>111</v>
      </c>
      <c r="G5" s="186" t="s">
        <v>149</v>
      </c>
      <c r="H5" s="185" t="str">
        <f t="shared" ref="H5" si="0">UPPER(G5)</f>
        <v>CQ2 - REALIZAÇÃO DE PILOTO DO PROJETO DROGÔMETROS - TREINAMENTO TEÓRICO E PRÁTICO COM A PRF</v>
      </c>
      <c r="I5" s="186" t="s">
        <v>121</v>
      </c>
      <c r="J5" s="187">
        <v>44470</v>
      </c>
      <c r="K5" s="181">
        <v>4</v>
      </c>
      <c r="L5" s="188">
        <v>6</v>
      </c>
      <c r="M5" s="332">
        <v>0</v>
      </c>
      <c r="N5" s="332">
        <v>135.9</v>
      </c>
      <c r="O5" s="334"/>
      <c r="P5" s="332">
        <f>360+620</f>
        <v>980</v>
      </c>
      <c r="Q5" s="192">
        <v>0</v>
      </c>
      <c r="R5" s="193">
        <v>364</v>
      </c>
      <c r="S5" s="194">
        <f t="shared" ref="S5:S13" si="1">M5+N5+O5+P5+Q5+R5</f>
        <v>1479.9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42" customHeight="1">
      <c r="A6" s="11"/>
      <c r="B6" s="295">
        <v>2</v>
      </c>
      <c r="C6" s="165" t="s">
        <v>138</v>
      </c>
      <c r="D6" s="298" t="s">
        <v>146</v>
      </c>
      <c r="E6" s="165" t="s">
        <v>184</v>
      </c>
      <c r="F6" s="171" t="s">
        <v>150</v>
      </c>
      <c r="G6" s="171" t="s">
        <v>149</v>
      </c>
      <c r="H6" s="293" t="str">
        <f>UPPER(G6)</f>
        <v>CQ2 - REALIZAÇÃO DE PILOTO DO PROJETO DROGÔMETROS - TREINAMENTO TEÓRICO E PRÁTICO COM A PRF</v>
      </c>
      <c r="I6" s="171" t="s">
        <v>121</v>
      </c>
      <c r="J6" s="172">
        <v>44470</v>
      </c>
      <c r="K6" s="168">
        <v>5</v>
      </c>
      <c r="L6" s="173">
        <v>6</v>
      </c>
      <c r="M6" s="331">
        <v>0</v>
      </c>
      <c r="N6" s="331">
        <v>48</v>
      </c>
      <c r="O6" s="335"/>
      <c r="P6" s="331">
        <v>300</v>
      </c>
      <c r="Q6" s="174">
        <v>0</v>
      </c>
      <c r="R6" s="175">
        <v>0</v>
      </c>
      <c r="S6" s="276">
        <f t="shared" si="1"/>
        <v>348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38.25" customHeight="1">
      <c r="A7" s="11"/>
      <c r="B7" s="295">
        <v>3</v>
      </c>
      <c r="C7" s="165" t="s">
        <v>139</v>
      </c>
      <c r="D7" s="298" t="s">
        <v>147</v>
      </c>
      <c r="E7" s="165" t="s">
        <v>185</v>
      </c>
      <c r="F7" s="171" t="s">
        <v>150</v>
      </c>
      <c r="G7" s="171" t="s">
        <v>149</v>
      </c>
      <c r="H7" s="293" t="str">
        <f t="shared" ref="H7:H13" si="2">UPPER(G7)</f>
        <v>CQ2 - REALIZAÇÃO DE PILOTO DO PROJETO DROGÔMETROS - TREINAMENTO TEÓRICO E PRÁTICO COM A PRF</v>
      </c>
      <c r="I7" s="171" t="s">
        <v>121</v>
      </c>
      <c r="J7" s="172">
        <v>44470</v>
      </c>
      <c r="K7" s="168">
        <v>5</v>
      </c>
      <c r="L7" s="173">
        <v>6</v>
      </c>
      <c r="M7" s="331">
        <v>0</v>
      </c>
      <c r="N7" s="331">
        <v>44</v>
      </c>
      <c r="O7" s="335"/>
      <c r="P7" s="331">
        <v>300</v>
      </c>
      <c r="Q7" s="174">
        <v>0</v>
      </c>
      <c r="R7" s="383">
        <v>0</v>
      </c>
      <c r="S7" s="276">
        <f t="shared" si="1"/>
        <v>344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38.25" customHeight="1">
      <c r="A8" s="11"/>
      <c r="B8" s="295">
        <v>4</v>
      </c>
      <c r="C8" s="165" t="s">
        <v>140</v>
      </c>
      <c r="D8" s="298" t="s">
        <v>96</v>
      </c>
      <c r="E8" s="347" t="s">
        <v>181</v>
      </c>
      <c r="F8" s="171" t="s">
        <v>111</v>
      </c>
      <c r="G8" s="171" t="s">
        <v>151</v>
      </c>
      <c r="H8" s="293" t="str">
        <f t="shared" si="2"/>
        <v xml:space="preserve"> CQ3 - REALIZAÇÃO DE PILOTO DO PROJETO DROGÔMETROS - TREINAMENTO TEÓRICO E PRÁTICO COM A PRF</v>
      </c>
      <c r="I8" s="171" t="s">
        <v>152</v>
      </c>
      <c r="J8" s="172">
        <v>44470</v>
      </c>
      <c r="K8" s="168">
        <v>24</v>
      </c>
      <c r="L8" s="173">
        <v>30</v>
      </c>
      <c r="M8" s="331">
        <v>0</v>
      </c>
      <c r="N8" s="331">
        <v>459.19</v>
      </c>
      <c r="O8" s="335"/>
      <c r="P8" s="331">
        <f>17.8+50.6+45+24.1+52+46.9</f>
        <v>236.4</v>
      </c>
      <c r="Q8" s="174">
        <f>326.95+1375.73</f>
        <v>1702.68</v>
      </c>
      <c r="R8" s="383">
        <f>661.5+1399.55+569.8</f>
        <v>2630.8500000000004</v>
      </c>
      <c r="S8" s="276">
        <f t="shared" si="1"/>
        <v>5029.1200000000008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38.25" customHeight="1">
      <c r="A9" s="11"/>
      <c r="B9" s="295">
        <v>5</v>
      </c>
      <c r="C9" s="165" t="s">
        <v>141</v>
      </c>
      <c r="D9" s="298" t="s">
        <v>95</v>
      </c>
      <c r="E9" s="432" t="s">
        <v>177</v>
      </c>
      <c r="F9" s="171" t="s">
        <v>111</v>
      </c>
      <c r="G9" s="171" t="s">
        <v>151</v>
      </c>
      <c r="H9" s="293" t="str">
        <f t="shared" si="2"/>
        <v xml:space="preserve"> CQ3 - REALIZAÇÃO DE PILOTO DO PROJETO DROGÔMETROS - TREINAMENTO TEÓRICO E PRÁTICO COM A PRF</v>
      </c>
      <c r="I9" s="171" t="s">
        <v>153</v>
      </c>
      <c r="J9" s="172">
        <v>44470</v>
      </c>
      <c r="K9" s="168">
        <v>24</v>
      </c>
      <c r="L9" s="173">
        <v>29</v>
      </c>
      <c r="M9" s="331"/>
      <c r="N9" s="331">
        <v>222.88</v>
      </c>
      <c r="O9" s="335"/>
      <c r="P9" s="331">
        <f>78+60+20+37.3+59+78+140+151</f>
        <v>623.29999999999995</v>
      </c>
      <c r="Q9" s="174">
        <f>513.9+1534.05+984.96</f>
        <v>3032.91</v>
      </c>
      <c r="R9" s="383">
        <f>325.5+8+220.5+667.8+180.3</f>
        <v>1402.1</v>
      </c>
      <c r="S9" s="276">
        <f t="shared" si="1"/>
        <v>5281.19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38.25" customHeight="1">
      <c r="A10" s="11"/>
      <c r="B10" s="295">
        <v>6</v>
      </c>
      <c r="C10" s="166" t="s">
        <v>142</v>
      </c>
      <c r="D10" s="298" t="s">
        <v>98</v>
      </c>
      <c r="E10" s="165" t="s">
        <v>180</v>
      </c>
      <c r="F10" s="171" t="s">
        <v>111</v>
      </c>
      <c r="G10" s="171" t="s">
        <v>151</v>
      </c>
      <c r="H10" s="293" t="str">
        <f t="shared" si="2"/>
        <v xml:space="preserve"> CQ3 - REALIZAÇÃO DE PILOTO DO PROJETO DROGÔMETROS - TREINAMENTO TEÓRICO E PRÁTICO COM A PRF</v>
      </c>
      <c r="I10" s="171" t="s">
        <v>154</v>
      </c>
      <c r="J10" s="172">
        <v>44470</v>
      </c>
      <c r="K10" s="168">
        <v>24</v>
      </c>
      <c r="L10" s="173">
        <v>29</v>
      </c>
      <c r="M10" s="331">
        <v>70.819999999999993</v>
      </c>
      <c r="N10" s="331">
        <v>510.89</v>
      </c>
      <c r="O10" s="335"/>
      <c r="P10" s="396">
        <f>75+71.1+53+100+74+12</f>
        <v>385.1</v>
      </c>
      <c r="Q10" s="174">
        <f>1320.05+1475.44</f>
        <v>2795.49</v>
      </c>
      <c r="R10" s="383">
        <f>20+566.1+448.5+73.49</f>
        <v>1108.0899999999999</v>
      </c>
      <c r="S10" s="276">
        <f t="shared" si="1"/>
        <v>4870.3899999999994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36.75" customHeight="1">
      <c r="A11" s="11"/>
      <c r="B11" s="295">
        <v>7</v>
      </c>
      <c r="C11" s="165" t="s">
        <v>143</v>
      </c>
      <c r="D11" s="298" t="s">
        <v>97</v>
      </c>
      <c r="E11" s="166" t="s">
        <v>179</v>
      </c>
      <c r="F11" s="171" t="s">
        <v>111</v>
      </c>
      <c r="G11" s="171" t="s">
        <v>151</v>
      </c>
      <c r="H11" s="293" t="str">
        <f t="shared" si="2"/>
        <v xml:space="preserve"> CQ3 - REALIZAÇÃO DE PILOTO DO PROJETO DROGÔMETROS - TREINAMENTO TEÓRICO E PRÁTICO COM A PRF</v>
      </c>
      <c r="I11" s="171" t="s">
        <v>155</v>
      </c>
      <c r="J11" s="172">
        <v>44470</v>
      </c>
      <c r="K11" s="168">
        <v>24</v>
      </c>
      <c r="L11" s="173">
        <v>29</v>
      </c>
      <c r="M11" s="331">
        <v>0</v>
      </c>
      <c r="N11" s="331">
        <v>409.55</v>
      </c>
      <c r="O11" s="335"/>
      <c r="P11" s="331">
        <f>600+106.01+223+99.21+80.9+71.61</f>
        <v>1180.73</v>
      </c>
      <c r="Q11" s="174">
        <v>2049.4</v>
      </c>
      <c r="R11" s="383">
        <v>806.4</v>
      </c>
      <c r="S11" s="276">
        <f t="shared" si="1"/>
        <v>4446.08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36.75" customHeight="1">
      <c r="A12" s="11"/>
      <c r="B12" s="295">
        <v>8</v>
      </c>
      <c r="C12" s="166" t="s">
        <v>144</v>
      </c>
      <c r="D12" s="298" t="s">
        <v>99</v>
      </c>
      <c r="E12" s="165" t="s">
        <v>181</v>
      </c>
      <c r="F12" s="171" t="s">
        <v>111</v>
      </c>
      <c r="G12" s="171" t="s">
        <v>151</v>
      </c>
      <c r="H12" s="293" t="str">
        <f t="shared" si="2"/>
        <v xml:space="preserve"> CQ3 - REALIZAÇÃO DE PILOTO DO PROJETO DROGÔMETROS - TREINAMENTO TEÓRICO E PRÁTICO COM A PRF</v>
      </c>
      <c r="I12" s="171" t="s">
        <v>156</v>
      </c>
      <c r="J12" s="172">
        <v>44470</v>
      </c>
      <c r="K12" s="168">
        <v>24</v>
      </c>
      <c r="L12" s="173">
        <v>28</v>
      </c>
      <c r="M12" s="331">
        <v>0</v>
      </c>
      <c r="N12" s="331">
        <v>232.5</v>
      </c>
      <c r="O12" s="335"/>
      <c r="P12" s="331">
        <f>113.1+20+230+270+21+113.1+71+39.46+45+48</f>
        <v>970.66000000000008</v>
      </c>
      <c r="Q12" s="174">
        <f>2479.28+920.96</f>
        <v>3400.2400000000002</v>
      </c>
      <c r="R12" s="383">
        <f>601.45+52.8+656.44+214.15</f>
        <v>1524.8400000000001</v>
      </c>
      <c r="S12" s="276">
        <f t="shared" si="1"/>
        <v>6128.2400000000007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33" customHeight="1" thickBot="1">
      <c r="A13" s="11"/>
      <c r="B13" s="440">
        <v>9</v>
      </c>
      <c r="C13" s="200" t="s">
        <v>145</v>
      </c>
      <c r="D13" s="315" t="s">
        <v>148</v>
      </c>
      <c r="E13" s="314" t="s">
        <v>176</v>
      </c>
      <c r="F13" s="205" t="s">
        <v>111</v>
      </c>
      <c r="G13" s="205" t="s">
        <v>151</v>
      </c>
      <c r="H13" s="324" t="str">
        <f t="shared" si="2"/>
        <v xml:space="preserve"> CQ3 - REALIZAÇÃO DE PILOTO DO PROJETO DROGÔMETROS - TREINAMENTO TEÓRICO E PRÁTICO COM A PRF</v>
      </c>
      <c r="I13" s="205" t="s">
        <v>157</v>
      </c>
      <c r="J13" s="206">
        <v>44470</v>
      </c>
      <c r="K13" s="207">
        <v>24</v>
      </c>
      <c r="L13" s="208">
        <v>28</v>
      </c>
      <c r="M13" s="333">
        <v>57.22</v>
      </c>
      <c r="N13" s="333">
        <v>219.18</v>
      </c>
      <c r="O13" s="337"/>
      <c r="P13" s="333">
        <v>31.44</v>
      </c>
      <c r="Q13" s="212">
        <f>1527.05+920.96+813.96</f>
        <v>3261.9700000000003</v>
      </c>
      <c r="R13" s="441">
        <f>656.44+229.55+411.7+98.49</f>
        <v>1396.18</v>
      </c>
      <c r="S13" s="442">
        <f t="shared" si="1"/>
        <v>4965.9900000000007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24.75" customHeight="1">
      <c r="A14" s="22"/>
      <c r="B14" s="22"/>
      <c r="C14" s="22"/>
      <c r="D14" s="22"/>
      <c r="E14" s="22"/>
      <c r="F14" s="22"/>
      <c r="G14" s="22"/>
      <c r="H14" s="22"/>
      <c r="I14" s="76"/>
      <c r="J14" s="22"/>
      <c r="K14" s="15"/>
      <c r="L14" s="22"/>
      <c r="M14" s="93">
        <f t="shared" ref="M14:Q14" si="3">SUM(M5:M13)</f>
        <v>128.04</v>
      </c>
      <c r="N14" s="93">
        <f t="shared" si="3"/>
        <v>2282.0899999999997</v>
      </c>
      <c r="O14" s="93">
        <f t="shared" si="3"/>
        <v>0</v>
      </c>
      <c r="P14" s="372">
        <f t="shared" si="3"/>
        <v>5007.6299999999992</v>
      </c>
      <c r="Q14" s="118">
        <f t="shared" si="3"/>
        <v>16242.689999999999</v>
      </c>
      <c r="R14" s="373">
        <f>SUM(R5:R13)</f>
        <v>9232.4600000000009</v>
      </c>
      <c r="S14" s="372">
        <f>SUM(S5:S13)+P15</f>
        <v>32942.986300000004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24.75" customHeight="1" thickBot="1">
      <c r="A15" s="25"/>
      <c r="B15" s="25"/>
      <c r="C15" s="25"/>
      <c r="D15" s="406"/>
      <c r="E15" s="402"/>
      <c r="F15" s="402"/>
      <c r="G15" s="402"/>
      <c r="H15" s="402"/>
      <c r="I15" s="402"/>
      <c r="J15" s="402"/>
      <c r="K15" s="402"/>
      <c r="L15" s="25"/>
      <c r="M15" s="26"/>
      <c r="N15" s="26"/>
      <c r="O15" s="81" t="s">
        <v>14</v>
      </c>
      <c r="P15" s="12">
        <f>P14*1%</f>
        <v>50.076299999999996</v>
      </c>
      <c r="Q15" s="25"/>
      <c r="R15" s="25"/>
      <c r="S15" s="30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24.75" customHeight="1" thickBot="1">
      <c r="A16" s="25"/>
      <c r="B16" s="25"/>
      <c r="C16" s="25"/>
      <c r="D16" s="358" t="s">
        <v>50</v>
      </c>
      <c r="E16" s="75"/>
      <c r="F16" s="75"/>
      <c r="G16" s="75"/>
      <c r="H16" s="75"/>
      <c r="I16" s="28"/>
      <c r="J16" s="25"/>
      <c r="K16" s="25"/>
      <c r="L16" s="26"/>
      <c r="M16" s="26"/>
      <c r="N16" s="26"/>
      <c r="O16" s="26"/>
      <c r="P16" s="82">
        <f>P14+P15</f>
        <v>5057.7062999999989</v>
      </c>
      <c r="Q16" s="29"/>
      <c r="R16" s="30"/>
      <c r="S16" s="83" t="s">
        <v>51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24.75" customHeight="1">
      <c r="A17" s="25"/>
      <c r="B17" s="25"/>
      <c r="C17" s="25"/>
      <c r="D17" s="407"/>
      <c r="E17" s="402"/>
      <c r="F17" s="402"/>
      <c r="G17" s="402"/>
      <c r="H17" s="402"/>
      <c r="I17" s="402"/>
      <c r="J17" s="402"/>
      <c r="K17" s="402"/>
      <c r="L17" s="25"/>
      <c r="M17" s="26"/>
      <c r="N17" s="26"/>
      <c r="O17" s="26"/>
      <c r="P17" s="12"/>
      <c r="Q17" s="4" t="s">
        <v>26</v>
      </c>
      <c r="R17" s="374">
        <f>M14+N14+O14+P16+Q14+R14</f>
        <v>32942.986299999997</v>
      </c>
      <c r="S17" s="35">
        <f>S14-R17</f>
        <v>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ht="24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81" t="s">
        <v>14</v>
      </c>
      <c r="P18" s="12" t="s">
        <v>52</v>
      </c>
      <c r="Q18" s="4"/>
      <c r="R18" s="5"/>
      <c r="S18" s="5"/>
    </row>
    <row r="19" spans="1:37" ht="24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1:37" ht="24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1:37" ht="24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1:37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1:37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12"/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12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12"/>
      <c r="Q25" s="4"/>
      <c r="R25" s="5"/>
      <c r="S25" s="5"/>
    </row>
    <row r="26" spans="1:37" ht="24.75" customHeight="1">
      <c r="C26" s="1"/>
      <c r="I26" s="2"/>
      <c r="J26" s="41"/>
      <c r="K26" s="41"/>
      <c r="L26" s="41"/>
      <c r="M26" s="3"/>
      <c r="N26" s="3"/>
      <c r="O26" s="3"/>
      <c r="P26" s="12"/>
      <c r="Q26" s="4"/>
      <c r="R26" s="5"/>
      <c r="S26" s="5"/>
    </row>
    <row r="27" spans="1:37" ht="24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  <c r="P27" s="12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P28" s="85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  <c r="P29" s="25"/>
    </row>
    <row r="30" spans="1:37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  <c r="P30" s="25"/>
    </row>
    <row r="31" spans="1:37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  <c r="P31" s="25"/>
    </row>
    <row r="32" spans="1:37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2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2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2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2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2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2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2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2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2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2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2" ht="24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2" ht="24.75" customHeight="1">
      <c r="C92" s="1"/>
      <c r="D92" s="1"/>
      <c r="E92" s="1"/>
      <c r="F92" s="1"/>
      <c r="G92" s="1"/>
      <c r="H92" s="1"/>
      <c r="I92" s="2"/>
      <c r="J92" s="41"/>
      <c r="K92" s="41"/>
      <c r="L92" s="41"/>
    </row>
    <row r="93" spans="3:12" ht="24.75" customHeight="1">
      <c r="C93" s="1"/>
      <c r="D93" s="1"/>
      <c r="E93" s="1"/>
      <c r="F93" s="1"/>
      <c r="G93" s="1"/>
      <c r="H93" s="1"/>
      <c r="I93" s="2"/>
      <c r="J93" s="41"/>
      <c r="K93" s="41"/>
      <c r="L93" s="41"/>
    </row>
    <row r="94" spans="3:12" ht="24.75" customHeight="1">
      <c r="C94" s="1"/>
      <c r="D94" s="1"/>
      <c r="E94" s="1"/>
      <c r="F94" s="1"/>
      <c r="G94" s="1"/>
      <c r="H94" s="1"/>
      <c r="I94" s="2"/>
      <c r="J94" s="41"/>
      <c r="K94" s="41"/>
      <c r="L94" s="41"/>
    </row>
    <row r="95" spans="3:12" ht="24.75" customHeight="1">
      <c r="C95" s="1"/>
      <c r="D95" s="1"/>
      <c r="E95" s="1"/>
      <c r="F95" s="1"/>
      <c r="G95" s="1"/>
      <c r="H95" s="1"/>
      <c r="I95" s="2"/>
      <c r="J95" s="41"/>
      <c r="K95" s="41"/>
      <c r="L95" s="41"/>
    </row>
    <row r="96" spans="3:12" ht="24.75" customHeight="1">
      <c r="C96" s="1"/>
      <c r="D96" s="1"/>
      <c r="E96" s="1"/>
      <c r="F96" s="1"/>
      <c r="G96" s="1"/>
      <c r="H96" s="1"/>
      <c r="I96" s="2"/>
      <c r="J96" s="41"/>
      <c r="K96" s="41"/>
      <c r="L96" s="41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</sheetData>
  <sheetProtection password="CC27" sheet="1" objects="1" scenarios="1"/>
  <mergeCells count="6">
    <mergeCell ref="D15:K15"/>
    <mergeCell ref="D17:K17"/>
    <mergeCell ref="B2:S2"/>
    <mergeCell ref="M3:O3"/>
    <mergeCell ref="Q3:S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activeCell="E7" sqref="E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6" ht="24.75" customHeight="1" thickBot="1">
      <c r="A2" s="42"/>
      <c r="B2" s="408" t="s">
        <v>66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2"/>
      <c r="B3" s="215"/>
      <c r="C3" s="215"/>
      <c r="D3" s="215"/>
      <c r="E3" s="215"/>
      <c r="F3" s="216"/>
      <c r="G3" s="215"/>
      <c r="H3" s="215"/>
      <c r="I3" s="215"/>
      <c r="J3" s="215"/>
      <c r="K3" s="215"/>
      <c r="L3" s="117"/>
      <c r="M3" s="424" t="s">
        <v>0</v>
      </c>
      <c r="N3" s="413"/>
      <c r="O3" s="414"/>
      <c r="P3" s="338" t="s">
        <v>33</v>
      </c>
      <c r="Q3" s="425" t="s">
        <v>34</v>
      </c>
      <c r="R3" s="413"/>
      <c r="S3" s="41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353" t="s">
        <v>35</v>
      </c>
      <c r="C4" s="354" t="s">
        <v>36</v>
      </c>
      <c r="D4" s="356" t="s">
        <v>37</v>
      </c>
      <c r="E4" s="356" t="s">
        <v>38</v>
      </c>
      <c r="F4" s="356" t="s">
        <v>39</v>
      </c>
      <c r="G4" s="357" t="s">
        <v>40</v>
      </c>
      <c r="H4" s="356" t="s">
        <v>41</v>
      </c>
      <c r="I4" s="356" t="s">
        <v>42</v>
      </c>
      <c r="J4" s="427" t="s">
        <v>43</v>
      </c>
      <c r="K4" s="422"/>
      <c r="L4" s="423"/>
      <c r="M4" s="392" t="s">
        <v>4</v>
      </c>
      <c r="N4" s="341" t="s">
        <v>5</v>
      </c>
      <c r="O4" s="342" t="s">
        <v>6</v>
      </c>
      <c r="P4" s="343" t="s">
        <v>4</v>
      </c>
      <c r="Q4" s="344" t="s">
        <v>8</v>
      </c>
      <c r="R4" s="345" t="s">
        <v>9</v>
      </c>
      <c r="S4" s="346" t="s">
        <v>45</v>
      </c>
    </row>
    <row r="5" spans="1:36" ht="26.25" customHeight="1">
      <c r="A5" s="11"/>
      <c r="B5" s="386">
        <v>1</v>
      </c>
      <c r="C5" s="347" t="s">
        <v>158</v>
      </c>
      <c r="D5" s="348" t="s">
        <v>160</v>
      </c>
      <c r="E5" s="387" t="s">
        <v>186</v>
      </c>
      <c r="F5" s="388" t="s">
        <v>161</v>
      </c>
      <c r="G5" s="389" t="s">
        <v>164</v>
      </c>
      <c r="H5" s="293" t="str">
        <f t="shared" ref="H5:H7" si="0">UPPER(G5)</f>
        <v>CAPACITAÇÃO EM ANÁLISE DE CROMOSSOMOS HUMANOS POR BANDAMENTO G</v>
      </c>
      <c r="I5" s="349" t="s">
        <v>166</v>
      </c>
      <c r="J5" s="350" t="s">
        <v>167</v>
      </c>
      <c r="K5" s="351">
        <v>22</v>
      </c>
      <c r="L5" s="352">
        <v>3</v>
      </c>
      <c r="M5" s="331">
        <v>340.42</v>
      </c>
      <c r="N5" s="331">
        <v>251.75</v>
      </c>
      <c r="O5" s="44"/>
      <c r="P5" s="390">
        <v>0</v>
      </c>
      <c r="Q5" s="339">
        <v>1886.5</v>
      </c>
      <c r="R5" s="383">
        <f>2861.25+412.8</f>
        <v>3274.05</v>
      </c>
      <c r="S5" s="391">
        <f t="shared" ref="S5:S7" si="1">M5+N5+O5+P5+Q5+R5</f>
        <v>5752.72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25.5" customHeight="1">
      <c r="A6" s="11"/>
      <c r="B6" s="45">
        <v>2</v>
      </c>
      <c r="C6" s="165" t="s">
        <v>159</v>
      </c>
      <c r="D6" s="298" t="s">
        <v>162</v>
      </c>
      <c r="E6" s="384" t="s">
        <v>187</v>
      </c>
      <c r="F6" s="168" t="s">
        <v>163</v>
      </c>
      <c r="G6" s="385" t="s">
        <v>165</v>
      </c>
      <c r="H6" s="48" t="str">
        <f t="shared" si="0"/>
        <v>PARTICIPAÇÃO DA SOLENIDADE DO PRÊMIO IG-SEST NO MINISTÉRIO DA ECONOMIA/BRASÍLIA</v>
      </c>
      <c r="I6" s="171" t="s">
        <v>49</v>
      </c>
      <c r="J6" s="172" t="s">
        <v>167</v>
      </c>
      <c r="K6" s="168">
        <v>30</v>
      </c>
      <c r="L6" s="173">
        <v>1</v>
      </c>
      <c r="M6" s="331">
        <v>212.71</v>
      </c>
      <c r="N6" s="331">
        <v>36</v>
      </c>
      <c r="O6" s="52"/>
      <c r="P6" s="53">
        <v>0</v>
      </c>
      <c r="Q6" s="174">
        <f>1669.95+1515.33</f>
        <v>3185.2799999999997</v>
      </c>
      <c r="R6" s="383">
        <f>337.76+96.32</f>
        <v>434.08</v>
      </c>
      <c r="S6" s="56">
        <f t="shared" si="1"/>
        <v>3868.0699999999997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7.25" customHeight="1">
      <c r="A7" s="11"/>
      <c r="B7" s="45">
        <v>3</v>
      </c>
      <c r="C7" s="59"/>
      <c r="D7" s="58"/>
      <c r="E7" s="61"/>
      <c r="F7" s="58"/>
      <c r="G7" s="115"/>
      <c r="H7" s="48" t="str">
        <f t="shared" si="0"/>
        <v/>
      </c>
      <c r="I7" s="48"/>
      <c r="J7" s="97"/>
      <c r="K7" s="58"/>
      <c r="L7" s="58"/>
      <c r="M7" s="393"/>
      <c r="N7" s="393"/>
      <c r="O7" s="52"/>
      <c r="P7" s="53"/>
      <c r="Q7" s="54"/>
      <c r="R7" s="55"/>
      <c r="S7" s="56">
        <f t="shared" si="1"/>
        <v>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24.75" customHeight="1">
      <c r="A8" s="22"/>
      <c r="B8" s="22"/>
      <c r="C8" s="22"/>
      <c r="D8" s="22"/>
      <c r="E8" s="22"/>
      <c r="F8" s="22"/>
      <c r="G8" s="22"/>
      <c r="H8" s="22"/>
      <c r="I8" s="76"/>
      <c r="J8" s="22"/>
      <c r="K8" s="15"/>
      <c r="L8" s="22"/>
      <c r="M8" s="93">
        <f t="shared" ref="M8:R8" si="2">SUM(M5:M7)</f>
        <v>553.13</v>
      </c>
      <c r="N8" s="93">
        <f t="shared" si="2"/>
        <v>287.75</v>
      </c>
      <c r="O8" s="93">
        <f t="shared" si="2"/>
        <v>0</v>
      </c>
      <c r="P8" s="98">
        <f t="shared" si="2"/>
        <v>0</v>
      </c>
      <c r="Q8" s="118">
        <f t="shared" si="2"/>
        <v>5071.78</v>
      </c>
      <c r="R8" s="119">
        <f t="shared" si="2"/>
        <v>3708.13</v>
      </c>
      <c r="S8" s="120">
        <f>SUM(S5:S7)+P9</f>
        <v>9620.7900000000009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24.75" customHeight="1">
      <c r="A9" s="25"/>
      <c r="B9" s="25"/>
      <c r="C9" s="25"/>
      <c r="D9" s="406"/>
      <c r="E9" s="402"/>
      <c r="F9" s="402"/>
      <c r="G9" s="402"/>
      <c r="H9" s="402"/>
      <c r="I9" s="402"/>
      <c r="J9" s="402"/>
      <c r="K9" s="402"/>
      <c r="L9" s="25"/>
      <c r="M9" s="26"/>
      <c r="N9" s="26"/>
      <c r="O9" s="81" t="s">
        <v>14</v>
      </c>
      <c r="P9" s="12">
        <f>P8*1%</f>
        <v>0</v>
      </c>
      <c r="Q9" s="25"/>
      <c r="R9" s="25"/>
      <c r="S9" s="3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24.75" customHeight="1">
      <c r="A10" s="25"/>
      <c r="B10" s="25"/>
      <c r="C10" s="25"/>
      <c r="D10" s="74" t="s">
        <v>50</v>
      </c>
      <c r="E10" s="75"/>
      <c r="F10" s="75"/>
      <c r="G10" s="75"/>
      <c r="H10" s="75"/>
      <c r="I10" s="28"/>
      <c r="J10" s="25"/>
      <c r="K10" s="25"/>
      <c r="L10" s="25"/>
      <c r="M10" s="26"/>
      <c r="N10" s="26"/>
      <c r="O10" s="26"/>
      <c r="P10" s="82">
        <f>P8+P9</f>
        <v>0</v>
      </c>
      <c r="Q10" s="29"/>
      <c r="R10" s="30"/>
      <c r="S10" s="83" t="s">
        <v>51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ht="24.75" customHeight="1">
      <c r="A11" s="25"/>
      <c r="B11" s="25"/>
      <c r="C11" s="25"/>
      <c r="D11" s="407"/>
      <c r="E11" s="402"/>
      <c r="F11" s="402"/>
      <c r="G11" s="402"/>
      <c r="H11" s="402"/>
      <c r="I11" s="402"/>
      <c r="J11" s="402"/>
      <c r="K11" s="402"/>
      <c r="L11" s="25"/>
      <c r="M11" s="26"/>
      <c r="N11" s="26"/>
      <c r="O11" s="26"/>
      <c r="P11" s="12"/>
      <c r="Q11" s="4" t="s">
        <v>26</v>
      </c>
      <c r="R11" s="84">
        <f>M8+N8+O8+P10+Q8+R8</f>
        <v>9620.7900000000009</v>
      </c>
      <c r="S11" s="35">
        <f>S8-R11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24.75" customHeight="1">
      <c r="C12" s="1"/>
      <c r="D12" s="1"/>
      <c r="E12" s="1"/>
      <c r="F12" s="1"/>
      <c r="G12" s="1"/>
      <c r="H12" s="1"/>
      <c r="I12" s="2"/>
      <c r="J12" s="41"/>
      <c r="K12" s="41"/>
      <c r="L12" s="41"/>
      <c r="M12" s="3"/>
      <c r="N12" s="3"/>
      <c r="O12" s="81" t="s">
        <v>14</v>
      </c>
      <c r="P12" s="12" t="s">
        <v>52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3"/>
      <c r="P13" s="12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 ht="24.75" customHeight="1">
      <c r="C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85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25"/>
    </row>
    <row r="24" spans="3:19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</row>
    <row r="25" spans="3:19" ht="24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</row>
    <row r="26" spans="3:19" ht="24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</row>
    <row r="40" spans="3:15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5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5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5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5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5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15.75" customHeight="1">
      <c r="C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9"/>
  <sheetViews>
    <sheetView workbookViewId="0">
      <selection activeCell="F11" sqref="F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9.5" hidden="1" customWidth="1"/>
    <col min="8" max="8" width="34" customWidth="1"/>
    <col min="9" max="9" width="22.375" customWidth="1"/>
    <col min="10" max="12" width="8" customWidth="1"/>
    <col min="13" max="13" width="12.375" customWidth="1"/>
    <col min="14" max="14" width="15.875" customWidth="1"/>
    <col min="15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24.75" customHeight="1">
      <c r="A2" s="42"/>
      <c r="B2" s="408" t="s">
        <v>67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42"/>
      <c r="B3" s="6"/>
      <c r="C3" s="6"/>
      <c r="D3" s="6"/>
      <c r="E3" s="6"/>
      <c r="F3" s="105"/>
      <c r="G3" s="6"/>
      <c r="H3" s="6"/>
      <c r="I3" s="6"/>
      <c r="J3" s="6"/>
      <c r="K3" s="6"/>
      <c r="L3" s="117"/>
      <c r="M3" s="428" t="s">
        <v>0</v>
      </c>
      <c r="N3" s="404"/>
      <c r="O3" s="405"/>
      <c r="P3" s="121" t="s">
        <v>33</v>
      </c>
      <c r="Q3" s="429" t="s">
        <v>34</v>
      </c>
      <c r="R3" s="404"/>
      <c r="S3" s="40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122" t="s">
        <v>35</v>
      </c>
      <c r="C4" s="123" t="s">
        <v>36</v>
      </c>
      <c r="D4" s="124" t="s">
        <v>37</v>
      </c>
      <c r="E4" s="122" t="s">
        <v>38</v>
      </c>
      <c r="F4" s="132" t="s">
        <v>39</v>
      </c>
      <c r="G4" s="133" t="s">
        <v>40</v>
      </c>
      <c r="H4" s="134" t="s">
        <v>41</v>
      </c>
      <c r="I4" s="135" t="s">
        <v>42</v>
      </c>
      <c r="J4" s="430" t="s">
        <v>43</v>
      </c>
      <c r="K4" s="404"/>
      <c r="L4" s="405"/>
      <c r="M4" s="125" t="s">
        <v>4</v>
      </c>
      <c r="N4" s="126" t="s">
        <v>5</v>
      </c>
      <c r="O4" s="127" t="s">
        <v>6</v>
      </c>
      <c r="P4" s="127" t="s">
        <v>4</v>
      </c>
      <c r="Q4" s="128" t="s">
        <v>8</v>
      </c>
      <c r="R4" s="129" t="s">
        <v>9</v>
      </c>
      <c r="S4" s="130" t="s">
        <v>45</v>
      </c>
    </row>
    <row r="5" spans="1:37" ht="51.75" customHeight="1">
      <c r="A5" s="11"/>
      <c r="B5" s="87">
        <v>1</v>
      </c>
      <c r="C5" s="136"/>
      <c r="D5" s="137"/>
      <c r="E5" s="138"/>
      <c r="F5" s="139"/>
      <c r="G5" s="140"/>
      <c r="H5" s="160" t="str">
        <f t="shared" ref="H5:H6" si="0">UPPER(G5)</f>
        <v/>
      </c>
      <c r="I5" s="141"/>
      <c r="J5" s="142"/>
      <c r="K5" s="143"/>
      <c r="L5" s="143"/>
      <c r="M5" s="144"/>
      <c r="N5" s="144"/>
      <c r="O5" s="144"/>
      <c r="P5" s="144"/>
      <c r="Q5" s="145"/>
      <c r="R5" s="146"/>
      <c r="S5" s="90">
        <f t="shared" ref="S5:S8" si="1">M5+N5+O5+P5+Q5+R5</f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51.75" customHeight="1">
      <c r="A6" s="11"/>
      <c r="B6" s="45">
        <v>2</v>
      </c>
      <c r="C6" s="147"/>
      <c r="D6" s="148"/>
      <c r="E6" s="149"/>
      <c r="F6" s="150"/>
      <c r="G6" s="140"/>
      <c r="H6" s="161" t="str">
        <f t="shared" si="0"/>
        <v/>
      </c>
      <c r="I6" s="151"/>
      <c r="J6" s="152"/>
      <c r="K6" s="153"/>
      <c r="L6" s="153"/>
      <c r="M6" s="144"/>
      <c r="N6" s="144"/>
      <c r="O6" s="144"/>
      <c r="P6" s="154"/>
      <c r="Q6" s="155"/>
      <c r="R6" s="156"/>
      <c r="S6" s="56">
        <f t="shared" si="1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7.25" customHeight="1">
      <c r="A7" s="11"/>
      <c r="B7" s="45">
        <v>3</v>
      </c>
      <c r="C7" s="46"/>
      <c r="D7" s="58"/>
      <c r="E7" s="61"/>
      <c r="F7" s="49"/>
      <c r="G7" s="48"/>
      <c r="H7" s="48"/>
      <c r="I7" s="48"/>
      <c r="J7" s="57"/>
      <c r="K7" s="58"/>
      <c r="L7" s="58"/>
      <c r="M7" s="52"/>
      <c r="N7" s="52"/>
      <c r="O7" s="52"/>
      <c r="P7" s="52"/>
      <c r="Q7" s="54"/>
      <c r="R7" s="55"/>
      <c r="S7" s="56">
        <f t="shared" si="1"/>
        <v>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7.25" customHeight="1">
      <c r="A8" s="11"/>
      <c r="B8" s="62"/>
      <c r="C8" s="63"/>
      <c r="D8" s="64"/>
      <c r="E8" s="92"/>
      <c r="F8" s="64"/>
      <c r="G8" s="64"/>
      <c r="H8" s="64" t="str">
        <f>UPPER(G8)</f>
        <v/>
      </c>
      <c r="I8" s="65"/>
      <c r="J8" s="66"/>
      <c r="K8" s="157"/>
      <c r="L8" s="158"/>
      <c r="M8" s="67"/>
      <c r="N8" s="67"/>
      <c r="O8" s="67"/>
      <c r="P8" s="159"/>
      <c r="Q8" s="68"/>
      <c r="R8" s="69"/>
      <c r="S8" s="70">
        <f t="shared" si="1"/>
        <v>0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24.75" customHeight="1">
      <c r="A9" s="22"/>
      <c r="B9" s="22"/>
      <c r="C9" s="22"/>
      <c r="D9" s="22"/>
      <c r="E9" s="22"/>
      <c r="F9" s="22"/>
      <c r="G9" s="22"/>
      <c r="H9" s="22"/>
      <c r="I9" s="76"/>
      <c r="J9" s="22"/>
      <c r="K9" s="15"/>
      <c r="L9" s="22"/>
      <c r="M9" s="93">
        <f t="shared" ref="M9:R9" si="2">SUM(M5:M8)</f>
        <v>0</v>
      </c>
      <c r="N9" s="93">
        <f t="shared" si="2"/>
        <v>0</v>
      </c>
      <c r="O9" s="93">
        <f t="shared" si="2"/>
        <v>0</v>
      </c>
      <c r="P9" s="98">
        <f t="shared" si="2"/>
        <v>0</v>
      </c>
      <c r="Q9" s="118">
        <f t="shared" si="2"/>
        <v>0</v>
      </c>
      <c r="R9" s="119">
        <f t="shared" si="2"/>
        <v>0</v>
      </c>
      <c r="S9" s="120">
        <f>SUM(S5:S8)+P10</f>
        <v>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24.75" customHeight="1">
      <c r="A10" s="25"/>
      <c r="B10" s="25"/>
      <c r="C10" s="25"/>
      <c r="D10" s="406"/>
      <c r="E10" s="402"/>
      <c r="F10" s="402"/>
      <c r="G10" s="402"/>
      <c r="H10" s="402"/>
      <c r="I10" s="402"/>
      <c r="J10" s="402"/>
      <c r="K10" s="402"/>
      <c r="L10" s="25"/>
      <c r="M10" s="26"/>
      <c r="N10" s="26"/>
      <c r="O10" s="81" t="s">
        <v>14</v>
      </c>
      <c r="P10" s="12">
        <f>P9*1%</f>
        <v>0</v>
      </c>
      <c r="Q10" s="25"/>
      <c r="R10" s="25"/>
      <c r="S10" s="3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24.75" customHeight="1">
      <c r="A11" s="25"/>
      <c r="B11" s="25"/>
      <c r="C11" s="25"/>
      <c r="D11" s="131" t="s">
        <v>50</v>
      </c>
      <c r="E11" s="75"/>
      <c r="F11" s="75"/>
      <c r="G11" s="75"/>
      <c r="H11" s="75"/>
      <c r="I11" s="28"/>
      <c r="J11" s="25"/>
      <c r="K11" s="25"/>
      <c r="L11" s="25"/>
      <c r="M11" s="26"/>
      <c r="N11" s="26"/>
      <c r="O11" s="26"/>
      <c r="P11" s="82">
        <f>P9+P10</f>
        <v>0</v>
      </c>
      <c r="Q11" s="29"/>
      <c r="R11" s="30"/>
      <c r="S11" s="83" t="s">
        <v>51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24.75" customHeight="1">
      <c r="A12" s="25"/>
      <c r="B12" s="25"/>
      <c r="C12" s="25"/>
      <c r="D12" s="407"/>
      <c r="E12" s="402"/>
      <c r="F12" s="402"/>
      <c r="G12" s="402"/>
      <c r="H12" s="402"/>
      <c r="I12" s="402"/>
      <c r="J12" s="402"/>
      <c r="K12" s="402"/>
      <c r="L12" s="25"/>
      <c r="M12" s="26"/>
      <c r="N12" s="26"/>
      <c r="O12" s="26"/>
      <c r="P12" s="12"/>
      <c r="Q12" s="4" t="s">
        <v>26</v>
      </c>
      <c r="R12" s="84">
        <f>M9+N9+O9+P11+Q9+R9</f>
        <v>0</v>
      </c>
      <c r="S12" s="35">
        <f>S9-R12</f>
        <v>0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24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81" t="s">
        <v>14</v>
      </c>
      <c r="P13" s="12" t="s">
        <v>52</v>
      </c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24.75" customHeight="1">
      <c r="C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85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</row>
    <row r="25" spans="3:19" ht="24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</row>
    <row r="26" spans="3:19" ht="24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25"/>
    </row>
    <row r="27" spans="3:19" ht="24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5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5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5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5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5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24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1"/>
      <c r="K985" s="41"/>
      <c r="L985" s="41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1"/>
      <c r="K986" s="41"/>
      <c r="L986" s="41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1"/>
      <c r="K987" s="41"/>
      <c r="L987" s="41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1"/>
      <c r="K988" s="41"/>
      <c r="L988" s="41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1"/>
      <c r="K989" s="41"/>
      <c r="L989" s="41"/>
      <c r="M989" s="3"/>
      <c r="N989" s="3"/>
      <c r="O989" s="3"/>
      <c r="Q989" s="4"/>
      <c r="R989" s="5"/>
      <c r="S989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3"/>
  <sheetViews>
    <sheetView workbookViewId="0">
      <selection activeCell="F18" sqref="F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22.5" customHeight="1">
      <c r="B2" s="408" t="s">
        <v>168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37" ht="32.25" customHeight="1" thickBot="1">
      <c r="A3" s="42"/>
      <c r="B3" s="6"/>
      <c r="C3" s="6"/>
      <c r="D3" s="6"/>
      <c r="E3" s="6"/>
      <c r="F3" s="105" t="s">
        <v>62</v>
      </c>
      <c r="G3" s="6"/>
      <c r="H3" s="6"/>
      <c r="I3" s="6"/>
      <c r="J3" s="6"/>
      <c r="K3" s="6"/>
      <c r="L3" s="6"/>
      <c r="M3" s="410" t="s">
        <v>0</v>
      </c>
      <c r="N3" s="404"/>
      <c r="O3" s="405"/>
      <c r="P3" s="43" t="s">
        <v>33</v>
      </c>
      <c r="Q3" s="411" t="s">
        <v>34</v>
      </c>
      <c r="R3" s="404"/>
      <c r="S3" s="40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108" t="s">
        <v>35</v>
      </c>
      <c r="C4" s="242" t="s">
        <v>36</v>
      </c>
      <c r="D4" s="177" t="s">
        <v>37</v>
      </c>
      <c r="E4" s="108" t="s">
        <v>38</v>
      </c>
      <c r="F4" s="108" t="s">
        <v>39</v>
      </c>
      <c r="G4" s="109" t="s">
        <v>40</v>
      </c>
      <c r="H4" s="108" t="s">
        <v>41</v>
      </c>
      <c r="I4" s="108" t="s">
        <v>42</v>
      </c>
      <c r="J4" s="412" t="s">
        <v>43</v>
      </c>
      <c r="K4" s="413"/>
      <c r="L4" s="414"/>
      <c r="M4" s="243" t="s">
        <v>4</v>
      </c>
      <c r="N4" s="244" t="s">
        <v>5</v>
      </c>
      <c r="O4" s="244" t="s">
        <v>6</v>
      </c>
      <c r="P4" s="244" t="s">
        <v>44</v>
      </c>
      <c r="Q4" s="245" t="s">
        <v>8</v>
      </c>
      <c r="R4" s="113" t="s">
        <v>9</v>
      </c>
      <c r="S4" s="246" t="s">
        <v>45</v>
      </c>
    </row>
    <row r="5" spans="1:37" ht="16.5" customHeight="1">
      <c r="A5" s="11"/>
      <c r="B5" s="179">
        <v>1</v>
      </c>
      <c r="C5" s="247"/>
      <c r="D5" s="248"/>
      <c r="E5" s="249"/>
      <c r="F5" s="185"/>
      <c r="G5" s="185"/>
      <c r="H5" s="250" t="str">
        <f t="shared" ref="H5:H7" si="0">UPPER(G5)</f>
        <v/>
      </c>
      <c r="I5" s="185"/>
      <c r="J5" s="251"/>
      <c r="K5" s="252"/>
      <c r="L5" s="252"/>
      <c r="M5" s="190"/>
      <c r="N5" s="190"/>
      <c r="O5" s="190"/>
      <c r="P5" s="191"/>
      <c r="Q5" s="253"/>
      <c r="R5" s="254"/>
      <c r="S5" s="194">
        <f t="shared" ref="S5:S7" si="1">M5+N5+O5+P5+Q5+R5</f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4.25" customHeight="1">
      <c r="A6" s="11"/>
      <c r="B6" s="195">
        <v>2</v>
      </c>
      <c r="C6" s="46"/>
      <c r="D6" s="47"/>
      <c r="E6" s="138"/>
      <c r="F6" s="48"/>
      <c r="G6" s="255"/>
      <c r="H6" s="140" t="str">
        <f t="shared" si="0"/>
        <v/>
      </c>
      <c r="I6" s="48"/>
      <c r="J6" s="50"/>
      <c r="K6" s="51"/>
      <c r="L6" s="51"/>
      <c r="M6" s="52"/>
      <c r="N6" s="52"/>
      <c r="O6" s="52"/>
      <c r="P6" s="53"/>
      <c r="Q6" s="54"/>
      <c r="R6" s="55"/>
      <c r="S6" s="197">
        <f t="shared" si="1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4.25" customHeight="1" thickBot="1">
      <c r="A7" s="11"/>
      <c r="B7" s="199">
        <v>3</v>
      </c>
      <c r="C7" s="233"/>
      <c r="D7" s="256"/>
      <c r="E7" s="235"/>
      <c r="F7" s="204"/>
      <c r="G7" s="204"/>
      <c r="H7" s="236" t="str">
        <f t="shared" si="0"/>
        <v/>
      </c>
      <c r="I7" s="204"/>
      <c r="J7" s="257"/>
      <c r="K7" s="238"/>
      <c r="L7" s="238"/>
      <c r="M7" s="210"/>
      <c r="N7" s="210"/>
      <c r="O7" s="210"/>
      <c r="P7" s="258"/>
      <c r="Q7" s="240"/>
      <c r="R7" s="241"/>
      <c r="S7" s="214">
        <f t="shared" si="1"/>
        <v>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 thickBot="1">
      <c r="A8" s="11"/>
      <c r="B8" s="15"/>
      <c r="C8" s="16"/>
      <c r="D8" s="17"/>
      <c r="E8" s="17"/>
      <c r="F8" s="17"/>
      <c r="G8" s="17"/>
      <c r="H8" s="17"/>
      <c r="I8" s="17"/>
      <c r="J8" s="71"/>
      <c r="K8" s="72"/>
      <c r="L8" s="72"/>
      <c r="M8" s="18"/>
      <c r="N8" s="18"/>
      <c r="O8" s="18"/>
      <c r="P8" s="12"/>
      <c r="Q8" s="19"/>
      <c r="R8" s="20"/>
      <c r="S8" s="2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15.75" customHeight="1">
      <c r="A9" s="22"/>
      <c r="B9" s="73" t="s">
        <v>14</v>
      </c>
      <c r="C9" s="22"/>
      <c r="D9" s="74" t="s">
        <v>50</v>
      </c>
      <c r="E9" s="75"/>
      <c r="F9" s="22"/>
      <c r="G9" s="22"/>
      <c r="H9" s="22"/>
      <c r="I9" s="76"/>
      <c r="J9" s="22"/>
      <c r="K9" s="15"/>
      <c r="L9" s="22"/>
      <c r="M9" s="77">
        <f t="shared" ref="M9:R9" si="2">SUM(M5:M7)</f>
        <v>0</v>
      </c>
      <c r="N9" s="77">
        <f t="shared" si="2"/>
        <v>0</v>
      </c>
      <c r="O9" s="77">
        <f t="shared" si="2"/>
        <v>0</v>
      </c>
      <c r="P9" s="78">
        <f t="shared" si="2"/>
        <v>0</v>
      </c>
      <c r="Q9" s="79">
        <f t="shared" si="2"/>
        <v>0</v>
      </c>
      <c r="R9" s="80">
        <f t="shared" si="2"/>
        <v>0</v>
      </c>
      <c r="S9" s="24">
        <f>SUM(S5:S7)+P10</f>
        <v>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5.75" customHeight="1">
      <c r="A10" s="25"/>
      <c r="B10" s="25"/>
      <c r="C10" s="25"/>
      <c r="D10" s="406"/>
      <c r="E10" s="402"/>
      <c r="F10" s="402"/>
      <c r="G10" s="402"/>
      <c r="H10" s="402"/>
      <c r="I10" s="402"/>
      <c r="J10" s="402"/>
      <c r="K10" s="402"/>
      <c r="L10" s="25"/>
      <c r="M10" s="26"/>
      <c r="N10" s="81"/>
      <c r="O10" s="81" t="s">
        <v>14</v>
      </c>
      <c r="P10" s="12">
        <f>P9*1%</f>
        <v>0</v>
      </c>
      <c r="Q10" s="25"/>
      <c r="R10" s="25"/>
      <c r="S10" s="3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>
      <c r="A11" s="25"/>
      <c r="B11" s="25"/>
      <c r="C11" s="25"/>
      <c r="D11" s="25"/>
      <c r="E11" s="25"/>
      <c r="F11" s="25"/>
      <c r="G11" s="25"/>
      <c r="H11" s="25"/>
      <c r="I11" s="28"/>
      <c r="J11" s="25"/>
      <c r="K11" s="25"/>
      <c r="L11" s="25"/>
      <c r="M11" s="26"/>
      <c r="N11" s="26"/>
      <c r="O11" s="26"/>
      <c r="P11" s="82">
        <f>P9+P10</f>
        <v>0</v>
      </c>
      <c r="Q11" s="29"/>
      <c r="R11" s="30"/>
      <c r="S11" s="83" t="s">
        <v>51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 customHeight="1">
      <c r="A12" s="25"/>
      <c r="B12" s="25"/>
      <c r="C12" s="25"/>
      <c r="D12" s="407"/>
      <c r="E12" s="402"/>
      <c r="F12" s="402"/>
      <c r="G12" s="402"/>
      <c r="H12" s="402"/>
      <c r="I12" s="402"/>
      <c r="J12" s="402"/>
      <c r="K12" s="402"/>
      <c r="L12" s="25"/>
      <c r="M12" s="26"/>
      <c r="N12" s="26"/>
      <c r="O12" s="26"/>
      <c r="P12" s="12"/>
      <c r="Q12" s="4" t="s">
        <v>26</v>
      </c>
      <c r="R12" s="84">
        <f>M9+N9+O9+P11+Q9+R9</f>
        <v>0</v>
      </c>
      <c r="S12" s="35">
        <f>S9-R12</f>
        <v>0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15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81"/>
      <c r="O13" s="81" t="s">
        <v>14</v>
      </c>
      <c r="P13" s="12" t="s">
        <v>52</v>
      </c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15.75" customHeight="1">
      <c r="C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85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25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  <c r="Q27" s="4"/>
      <c r="R27" s="5"/>
      <c r="S27" s="5"/>
    </row>
    <row r="28" spans="3:19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Q28" s="4"/>
      <c r="R28" s="5"/>
      <c r="S28" s="5"/>
    </row>
    <row r="29" spans="3:19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  <c r="Q29" s="4"/>
      <c r="R29" s="5"/>
      <c r="S29" s="5"/>
    </row>
    <row r="30" spans="3:19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  <c r="Q30" s="4"/>
      <c r="R30" s="5"/>
      <c r="S30" s="5"/>
    </row>
    <row r="31" spans="3:19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  <c r="Q31" s="4"/>
      <c r="R31" s="5"/>
      <c r="S31" s="5"/>
    </row>
    <row r="32" spans="3:19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E24" sqref="E2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16.5" customHeight="1">
      <c r="B2" s="408" t="s">
        <v>57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37" ht="32.25" customHeight="1" thickBot="1">
      <c r="A3" s="42"/>
      <c r="B3" s="86"/>
      <c r="C3" s="86"/>
      <c r="D3" s="86"/>
      <c r="E3" s="86"/>
      <c r="F3" s="105" t="s">
        <v>62</v>
      </c>
      <c r="G3" s="86"/>
      <c r="H3" s="86"/>
      <c r="I3" s="86"/>
      <c r="J3" s="86"/>
      <c r="K3" s="86"/>
      <c r="L3" s="86"/>
      <c r="M3" s="410" t="s">
        <v>0</v>
      </c>
      <c r="N3" s="404"/>
      <c r="O3" s="405"/>
      <c r="P3" s="43" t="s">
        <v>33</v>
      </c>
      <c r="Q3" s="411" t="s">
        <v>34</v>
      </c>
      <c r="R3" s="404"/>
      <c r="S3" s="40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108" t="s">
        <v>35</v>
      </c>
      <c r="C4" s="242" t="s">
        <v>36</v>
      </c>
      <c r="D4" s="259" t="s">
        <v>37</v>
      </c>
      <c r="E4" s="108" t="s">
        <v>38</v>
      </c>
      <c r="F4" s="108" t="s">
        <v>39</v>
      </c>
      <c r="G4" s="109" t="s">
        <v>40</v>
      </c>
      <c r="H4" s="108" t="s">
        <v>41</v>
      </c>
      <c r="I4" s="260" t="s">
        <v>42</v>
      </c>
      <c r="J4" s="415" t="s">
        <v>43</v>
      </c>
      <c r="K4" s="413"/>
      <c r="L4" s="414"/>
      <c r="M4" s="110" t="s">
        <v>4</v>
      </c>
      <c r="N4" s="111" t="s">
        <v>5</v>
      </c>
      <c r="O4" s="112" t="s">
        <v>6</v>
      </c>
      <c r="P4" s="112" t="s">
        <v>4</v>
      </c>
      <c r="Q4" s="178" t="s">
        <v>8</v>
      </c>
      <c r="R4" s="113" t="s">
        <v>9</v>
      </c>
      <c r="S4" s="114" t="s">
        <v>45</v>
      </c>
    </row>
    <row r="5" spans="1:37" ht="16.5" customHeight="1">
      <c r="A5" s="11"/>
      <c r="B5" s="179">
        <v>1</v>
      </c>
      <c r="C5" s="247"/>
      <c r="D5" s="270"/>
      <c r="E5" s="271"/>
      <c r="F5" s="272"/>
      <c r="G5" s="185"/>
      <c r="H5" s="250"/>
      <c r="I5" s="252"/>
      <c r="J5" s="273"/>
      <c r="K5" s="274"/>
      <c r="L5" s="274"/>
      <c r="M5" s="190"/>
      <c r="N5" s="190"/>
      <c r="O5" s="190"/>
      <c r="P5" s="275"/>
      <c r="Q5" s="253"/>
      <c r="R5" s="254"/>
      <c r="S5" s="194">
        <f t="shared" ref="S5:S7" si="0">M5+N5+O5+P5+Q5+R5</f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4.25" customHeight="1">
      <c r="A6" s="11"/>
      <c r="B6" s="195">
        <v>2</v>
      </c>
      <c r="C6" s="46"/>
      <c r="D6" s="91"/>
      <c r="E6" s="59"/>
      <c r="F6" s="140"/>
      <c r="G6" s="48"/>
      <c r="H6" s="167"/>
      <c r="I6" s="58"/>
      <c r="J6" s="50"/>
      <c r="K6" s="51"/>
      <c r="L6" s="51"/>
      <c r="M6" s="52"/>
      <c r="N6" s="52"/>
      <c r="O6" s="52"/>
      <c r="P6" s="53"/>
      <c r="Q6" s="54"/>
      <c r="R6" s="55"/>
      <c r="S6" s="276">
        <f t="shared" si="0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3.5" customHeight="1" thickBot="1">
      <c r="A7" s="11"/>
      <c r="B7" s="199">
        <v>3</v>
      </c>
      <c r="C7" s="233"/>
      <c r="D7" s="256"/>
      <c r="E7" s="277"/>
      <c r="F7" s="236"/>
      <c r="G7" s="204"/>
      <c r="H7" s="278"/>
      <c r="I7" s="279"/>
      <c r="J7" s="257"/>
      <c r="K7" s="238"/>
      <c r="L7" s="238"/>
      <c r="M7" s="210"/>
      <c r="N7" s="210"/>
      <c r="O7" s="210"/>
      <c r="P7" s="211"/>
      <c r="Q7" s="240"/>
      <c r="R7" s="241"/>
      <c r="S7" s="280">
        <f t="shared" si="0"/>
        <v>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 thickBot="1">
      <c r="A8" s="22"/>
      <c r="B8" s="261" t="s">
        <v>14</v>
      </c>
      <c r="C8" s="262"/>
      <c r="D8" s="263" t="s">
        <v>50</v>
      </c>
      <c r="E8" s="264"/>
      <c r="F8" s="262"/>
      <c r="G8" s="262"/>
      <c r="H8" s="262"/>
      <c r="I8" s="265"/>
      <c r="J8" s="262"/>
      <c r="K8" s="266"/>
      <c r="L8" s="262"/>
      <c r="M8" s="267">
        <f t="shared" ref="M8:R8" si="1">SUM(M5:M7)</f>
        <v>0</v>
      </c>
      <c r="N8" s="267">
        <f t="shared" si="1"/>
        <v>0</v>
      </c>
      <c r="O8" s="267">
        <f t="shared" si="1"/>
        <v>0</v>
      </c>
      <c r="P8" s="268">
        <f t="shared" si="1"/>
        <v>0</v>
      </c>
      <c r="Q8" s="79">
        <f t="shared" si="1"/>
        <v>0</v>
      </c>
      <c r="R8" s="80">
        <f t="shared" si="1"/>
        <v>0</v>
      </c>
      <c r="S8" s="269">
        <f>SUM(S5:S7)+P9</f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5.75" customHeight="1" thickBot="1">
      <c r="A9" s="25"/>
      <c r="B9" s="25"/>
      <c r="C9" s="25"/>
      <c r="D9" s="406"/>
      <c r="E9" s="402"/>
      <c r="F9" s="402"/>
      <c r="G9" s="402"/>
      <c r="H9" s="402"/>
      <c r="I9" s="402"/>
      <c r="J9" s="402"/>
      <c r="K9" s="402"/>
      <c r="L9" s="25"/>
      <c r="M9" s="26"/>
      <c r="N9" s="81"/>
      <c r="O9" s="81" t="s">
        <v>14</v>
      </c>
      <c r="P9" s="12">
        <f>P8*1%</f>
        <v>0</v>
      </c>
      <c r="Q9" s="25"/>
      <c r="R9" s="25"/>
      <c r="S9" s="3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 customHeight="1">
      <c r="A10" s="25"/>
      <c r="B10" s="25"/>
      <c r="C10" s="25"/>
      <c r="D10" s="25"/>
      <c r="E10" s="25"/>
      <c r="F10" s="25"/>
      <c r="G10" s="25"/>
      <c r="H10" s="25"/>
      <c r="I10" s="28"/>
      <c r="J10" s="25"/>
      <c r="K10" s="25"/>
      <c r="L10" s="25"/>
      <c r="M10" s="26"/>
      <c r="N10" s="26"/>
      <c r="O10" s="26"/>
      <c r="P10" s="82">
        <f>P8+P9</f>
        <v>0</v>
      </c>
      <c r="Q10" s="29"/>
      <c r="R10" s="30"/>
      <c r="S10" s="83" t="s">
        <v>51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>
      <c r="A11" s="25"/>
      <c r="B11" s="25"/>
      <c r="C11" s="25"/>
      <c r="D11" s="407"/>
      <c r="E11" s="402"/>
      <c r="F11" s="402"/>
      <c r="G11" s="402"/>
      <c r="H11" s="402"/>
      <c r="I11" s="402"/>
      <c r="J11" s="402"/>
      <c r="K11" s="402"/>
      <c r="L11" s="25"/>
      <c r="M11" s="26"/>
      <c r="N11" s="26"/>
      <c r="O11" s="26"/>
      <c r="P11" s="12"/>
      <c r="Q11" s="4" t="s">
        <v>26</v>
      </c>
      <c r="R11" s="84">
        <f>M8+N8+O8+P10+Q8+R8</f>
        <v>0</v>
      </c>
      <c r="S11" s="35">
        <f>S8-R11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 customHeight="1">
      <c r="C12" s="1"/>
      <c r="D12" s="1"/>
      <c r="E12" s="1"/>
      <c r="F12" s="1"/>
      <c r="G12" s="1"/>
      <c r="H12" s="1"/>
      <c r="I12" s="2"/>
      <c r="J12" s="41"/>
      <c r="K12" s="41"/>
      <c r="L12" s="41"/>
      <c r="M12" s="3"/>
      <c r="N12" s="81"/>
      <c r="O12" s="81" t="s">
        <v>14</v>
      </c>
      <c r="P12" s="12" t="s">
        <v>52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3"/>
      <c r="P13" s="12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 ht="15.75" customHeight="1">
      <c r="C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85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25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</row>
    <row r="28" spans="3:19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</row>
    <row r="29" spans="3:19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</row>
    <row r="30" spans="3:19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</row>
    <row r="31" spans="3:19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</row>
    <row r="32" spans="3:19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</row>
    <row r="33" spans="3:12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</row>
    <row r="34" spans="3:12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</row>
    <row r="35" spans="3:12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</row>
    <row r="36" spans="3:12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</row>
    <row r="37" spans="3:12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</row>
    <row r="38" spans="3:12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</row>
    <row r="39" spans="3:12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</row>
    <row r="40" spans="3:12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2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2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2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2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2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2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2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2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15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15.75" customHeight="1">
      <c r="C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D12" sqref="D12:K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18">
      <c r="B2" s="401" t="s">
        <v>56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</row>
    <row r="3" spans="1:37" ht="32.25" customHeight="1" thickBot="1">
      <c r="A3" s="42"/>
      <c r="B3" s="86"/>
      <c r="C3" s="86"/>
      <c r="D3" s="86"/>
      <c r="E3" s="86"/>
      <c r="F3" s="105" t="s">
        <v>62</v>
      </c>
      <c r="G3" s="86"/>
      <c r="H3" s="86"/>
      <c r="I3" s="86"/>
      <c r="J3" s="86"/>
      <c r="K3" s="86"/>
      <c r="L3" s="86"/>
      <c r="M3" s="410" t="s">
        <v>0</v>
      </c>
      <c r="N3" s="404"/>
      <c r="O3" s="405"/>
      <c r="P3" s="43" t="s">
        <v>33</v>
      </c>
      <c r="Q3" s="411" t="s">
        <v>34</v>
      </c>
      <c r="R3" s="404"/>
      <c r="S3" s="40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108" t="s">
        <v>35</v>
      </c>
      <c r="C4" s="107" t="s">
        <v>36</v>
      </c>
      <c r="D4" s="281" t="s">
        <v>37</v>
      </c>
      <c r="E4" s="108" t="s">
        <v>38</v>
      </c>
      <c r="F4" s="108" t="s">
        <v>39</v>
      </c>
      <c r="G4" s="109" t="s">
        <v>40</v>
      </c>
      <c r="H4" s="108" t="s">
        <v>41</v>
      </c>
      <c r="I4" s="282" t="s">
        <v>42</v>
      </c>
      <c r="J4" s="415" t="s">
        <v>43</v>
      </c>
      <c r="K4" s="413"/>
      <c r="L4" s="414"/>
      <c r="M4" s="110" t="s">
        <v>4</v>
      </c>
      <c r="N4" s="111" t="s">
        <v>5</v>
      </c>
      <c r="O4" s="112" t="s">
        <v>6</v>
      </c>
      <c r="P4" s="112" t="s">
        <v>4</v>
      </c>
      <c r="Q4" s="178" t="s">
        <v>8</v>
      </c>
      <c r="R4" s="113" t="s">
        <v>9</v>
      </c>
      <c r="S4" s="114" t="s">
        <v>45</v>
      </c>
    </row>
    <row r="5" spans="1:37" ht="12.75" customHeight="1">
      <c r="A5" s="11"/>
      <c r="B5" s="179">
        <v>1</v>
      </c>
      <c r="C5" s="247"/>
      <c r="D5" s="248"/>
      <c r="E5" s="249"/>
      <c r="F5" s="252"/>
      <c r="G5" s="185"/>
      <c r="H5" s="185"/>
      <c r="I5" s="185"/>
      <c r="J5" s="251"/>
      <c r="K5" s="252"/>
      <c r="L5" s="252"/>
      <c r="M5" s="190"/>
      <c r="N5" s="190"/>
      <c r="O5" s="190"/>
      <c r="P5" s="191"/>
      <c r="Q5" s="253"/>
      <c r="R5" s="254"/>
      <c r="S5" s="194">
        <f t="shared" ref="S5:S7" si="0">M5+N5+O5+P5+Q5+R5</f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>
      <c r="A6" s="11"/>
      <c r="B6" s="195">
        <v>2</v>
      </c>
      <c r="C6" s="46"/>
      <c r="D6" s="60"/>
      <c r="E6" s="61"/>
      <c r="F6" s="58"/>
      <c r="G6" s="48"/>
      <c r="H6" s="48"/>
      <c r="I6" s="48"/>
      <c r="J6" s="57"/>
      <c r="K6" s="58"/>
      <c r="L6" s="58"/>
      <c r="M6" s="52"/>
      <c r="N6" s="52"/>
      <c r="O6" s="52"/>
      <c r="P6" s="53"/>
      <c r="Q6" s="54"/>
      <c r="R6" s="55"/>
      <c r="S6" s="197">
        <f t="shared" si="0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6.5" customHeight="1" thickBot="1">
      <c r="A7" s="11"/>
      <c r="B7" s="199">
        <v>3</v>
      </c>
      <c r="C7" s="233"/>
      <c r="D7" s="283"/>
      <c r="E7" s="284"/>
      <c r="F7" s="279"/>
      <c r="G7" s="204"/>
      <c r="H7" s="204"/>
      <c r="I7" s="204"/>
      <c r="J7" s="285"/>
      <c r="K7" s="279"/>
      <c r="L7" s="279"/>
      <c r="M7" s="210"/>
      <c r="N7" s="210"/>
      <c r="O7" s="210"/>
      <c r="P7" s="258"/>
      <c r="Q7" s="240"/>
      <c r="R7" s="241"/>
      <c r="S7" s="214">
        <f t="shared" si="0"/>
        <v>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 thickBot="1">
      <c r="A8" s="11"/>
      <c r="B8" s="15"/>
      <c r="C8" s="16"/>
      <c r="D8" s="17"/>
      <c r="E8" s="17"/>
      <c r="F8" s="17"/>
      <c r="G8" s="17"/>
      <c r="H8" s="17"/>
      <c r="I8" s="17"/>
      <c r="J8" s="71"/>
      <c r="K8" s="72"/>
      <c r="L8" s="72"/>
      <c r="M8" s="18"/>
      <c r="N8" s="18"/>
      <c r="O8" s="18"/>
      <c r="P8" s="12"/>
      <c r="Q8" s="19"/>
      <c r="R8" s="20"/>
      <c r="S8" s="2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15.75" customHeight="1">
      <c r="A9" s="22"/>
      <c r="B9" s="73" t="s">
        <v>14</v>
      </c>
      <c r="C9" s="22"/>
      <c r="D9" s="74" t="s">
        <v>50</v>
      </c>
      <c r="E9" s="75"/>
      <c r="F9" s="22"/>
      <c r="G9" s="22"/>
      <c r="H9" s="22"/>
      <c r="I9" s="76"/>
      <c r="J9" s="22"/>
      <c r="K9" s="15"/>
      <c r="L9" s="22"/>
      <c r="M9" s="77">
        <f t="shared" ref="M9:R9" si="1">SUM(M5:M7)</f>
        <v>0</v>
      </c>
      <c r="N9" s="77">
        <f t="shared" si="1"/>
        <v>0</v>
      </c>
      <c r="O9" s="77">
        <f t="shared" si="1"/>
        <v>0</v>
      </c>
      <c r="P9" s="95">
        <f t="shared" si="1"/>
        <v>0</v>
      </c>
      <c r="Q9" s="79">
        <f t="shared" si="1"/>
        <v>0</v>
      </c>
      <c r="R9" s="80">
        <f t="shared" si="1"/>
        <v>0</v>
      </c>
      <c r="S9" s="24">
        <f>SUM(S5:S7)+P10</f>
        <v>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5.75" customHeight="1">
      <c r="A10" s="25"/>
      <c r="B10" s="25"/>
      <c r="C10" s="25"/>
      <c r="D10" s="406"/>
      <c r="E10" s="402"/>
      <c r="F10" s="402"/>
      <c r="G10" s="402"/>
      <c r="H10" s="402"/>
      <c r="I10" s="402"/>
      <c r="J10" s="402"/>
      <c r="K10" s="402"/>
      <c r="L10" s="25"/>
      <c r="M10" s="26"/>
      <c r="N10" s="26"/>
      <c r="O10" s="81" t="s">
        <v>14</v>
      </c>
      <c r="P10" s="12">
        <f>P9*1%</f>
        <v>0</v>
      </c>
      <c r="Q10" s="25"/>
      <c r="R10" s="25"/>
      <c r="S10" s="3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>
      <c r="A11" s="25"/>
      <c r="B11" s="25"/>
      <c r="C11" s="25"/>
      <c r="D11" s="75"/>
      <c r="E11" s="75"/>
      <c r="F11" s="25"/>
      <c r="G11" s="25"/>
      <c r="H11" s="25"/>
      <c r="I11" s="28"/>
      <c r="J11" s="25"/>
      <c r="K11" s="25"/>
      <c r="L11" s="25"/>
      <c r="M11" s="26"/>
      <c r="N11" s="26"/>
      <c r="O11" s="26"/>
      <c r="P11" s="82">
        <f>P9+P10</f>
        <v>0</v>
      </c>
      <c r="Q11" s="29"/>
      <c r="R11" s="30"/>
      <c r="S11" s="83" t="s">
        <v>51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 customHeight="1">
      <c r="A12" s="25"/>
      <c r="B12" s="25"/>
      <c r="C12" s="25"/>
      <c r="D12" s="407"/>
      <c r="E12" s="402"/>
      <c r="F12" s="402"/>
      <c r="G12" s="402"/>
      <c r="H12" s="402"/>
      <c r="I12" s="402"/>
      <c r="J12" s="402"/>
      <c r="K12" s="402"/>
      <c r="L12" s="25"/>
      <c r="M12" s="26"/>
      <c r="N12" s="26"/>
      <c r="O12" s="26"/>
      <c r="P12" s="12"/>
      <c r="Q12" s="4" t="s">
        <v>26</v>
      </c>
      <c r="R12" s="84">
        <f>M9+N9+O9+P11+Q9+R9</f>
        <v>0</v>
      </c>
      <c r="S12" s="35">
        <f>S9-R12</f>
        <v>0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15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81" t="s">
        <v>14</v>
      </c>
      <c r="P13" s="12" t="s">
        <v>52</v>
      </c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</row>
    <row r="20" spans="3:19" ht="15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</row>
    <row r="21" spans="3:19" ht="15.75" customHeight="1">
      <c r="C21" s="1"/>
      <c r="I21" s="2"/>
      <c r="J21" s="41"/>
      <c r="K21" s="41"/>
      <c r="L21" s="41"/>
      <c r="M21" s="3"/>
      <c r="N21" s="3"/>
      <c r="O21" s="3"/>
      <c r="P21" s="12"/>
    </row>
    <row r="22" spans="3:19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</row>
    <row r="23" spans="3:19" ht="15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85"/>
    </row>
    <row r="24" spans="3:19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</row>
    <row r="25" spans="3:19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</row>
    <row r="26" spans="3:19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25"/>
    </row>
    <row r="27" spans="3:19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</row>
    <row r="36" spans="3:15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</row>
    <row r="37" spans="3:15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</row>
    <row r="38" spans="3:15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</row>
    <row r="39" spans="3:15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</row>
    <row r="40" spans="3:15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5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5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5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5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5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15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15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1"/>
      <c r="K985" s="41"/>
      <c r="L985" s="41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1"/>
      <c r="K986" s="41"/>
      <c r="L986" s="41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10" sqref="E1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.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18">
      <c r="A2" s="42"/>
      <c r="B2" s="408" t="s">
        <v>58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2"/>
      <c r="B3" s="6"/>
      <c r="C3" s="6"/>
      <c r="D3" s="6"/>
      <c r="E3" s="6"/>
      <c r="F3" s="317"/>
      <c r="G3" s="6"/>
      <c r="H3" s="6"/>
      <c r="I3" s="6"/>
      <c r="J3" s="6"/>
      <c r="K3" s="6"/>
      <c r="L3" s="6"/>
      <c r="M3" s="410" t="s">
        <v>0</v>
      </c>
      <c r="N3" s="404"/>
      <c r="O3" s="405"/>
      <c r="P3" s="43" t="s">
        <v>33</v>
      </c>
      <c r="Q3" s="411" t="s">
        <v>34</v>
      </c>
      <c r="R3" s="404"/>
      <c r="S3" s="40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108" t="s">
        <v>35</v>
      </c>
      <c r="C4" s="107" t="s">
        <v>36</v>
      </c>
      <c r="D4" s="177" t="s">
        <v>37</v>
      </c>
      <c r="E4" s="108" t="s">
        <v>38</v>
      </c>
      <c r="F4" s="108" t="s">
        <v>39</v>
      </c>
      <c r="G4" s="109" t="s">
        <v>40</v>
      </c>
      <c r="H4" s="108" t="s">
        <v>41</v>
      </c>
      <c r="I4" s="108" t="s">
        <v>42</v>
      </c>
      <c r="J4" s="412" t="s">
        <v>43</v>
      </c>
      <c r="K4" s="413"/>
      <c r="L4" s="414"/>
      <c r="M4" s="110" t="s">
        <v>4</v>
      </c>
      <c r="N4" s="111" t="s">
        <v>5</v>
      </c>
      <c r="O4" s="112" t="s">
        <v>6</v>
      </c>
      <c r="P4" s="112" t="s">
        <v>4</v>
      </c>
      <c r="Q4" s="178" t="s">
        <v>8</v>
      </c>
      <c r="R4" s="113" t="s">
        <v>9</v>
      </c>
      <c r="S4" s="114" t="s">
        <v>45</v>
      </c>
    </row>
    <row r="5" spans="1:37" ht="57" customHeight="1">
      <c r="A5" s="11"/>
      <c r="B5" s="179">
        <v>1</v>
      </c>
      <c r="C5" s="180" t="s">
        <v>68</v>
      </c>
      <c r="D5" s="181" t="s">
        <v>46</v>
      </c>
      <c r="E5" s="182" t="s">
        <v>170</v>
      </c>
      <c r="F5" s="183" t="s">
        <v>73</v>
      </c>
      <c r="G5" s="184" t="s">
        <v>74</v>
      </c>
      <c r="H5" s="185" t="str">
        <f t="shared" ref="H5:H9" si="0">UPPER(G5)</f>
        <v>REUNIÕES PRESENCIAIS E VISITAS DE DIAGNÓSTICO REALIZADAS EM CONJUNTO REPRESENTANTES DO MINISTÉRIO DA SAÚDE PARA PLANEJAMENTO DA IMPLANTAÇÃO DO AGHUSE NOS HOSPITAIS E INSTITUTOS DAQUELE MINISTÉRIO,</v>
      </c>
      <c r="I5" s="186" t="s">
        <v>53</v>
      </c>
      <c r="J5" s="187">
        <v>44287</v>
      </c>
      <c r="K5" s="181">
        <v>27</v>
      </c>
      <c r="L5" s="188">
        <v>30</v>
      </c>
      <c r="M5" s="189">
        <f>146.19+20.87</f>
        <v>167.06</v>
      </c>
      <c r="N5" s="189">
        <v>437.1</v>
      </c>
      <c r="O5" s="190"/>
      <c r="P5" s="191"/>
      <c r="Q5" s="192">
        <v>1595.75</v>
      </c>
      <c r="R5" s="193">
        <f>985.56+32</f>
        <v>1017.56</v>
      </c>
      <c r="S5" s="194">
        <f t="shared" ref="S5:S9" si="1">M5+N5+O5+P5+Q5+R5</f>
        <v>3217.47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62.25" customHeight="1">
      <c r="A6" s="11"/>
      <c r="B6" s="195">
        <v>2</v>
      </c>
      <c r="C6" s="165" t="s">
        <v>69</v>
      </c>
      <c r="D6" s="168" t="s">
        <v>75</v>
      </c>
      <c r="E6" s="196" t="s">
        <v>171</v>
      </c>
      <c r="F6" s="169" t="s">
        <v>76</v>
      </c>
      <c r="G6" s="170" t="s">
        <v>74</v>
      </c>
      <c r="H6" s="48" t="str">
        <f t="shared" si="0"/>
        <v>REUNIÕES PRESENCIAIS E VISITAS DE DIAGNÓSTICO REALIZADAS EM CONJUNTO REPRESENTANTES DO MINISTÉRIO DA SAÚDE PARA PLANEJAMENTO DA IMPLANTAÇÃO DO AGHUSE NOS HOSPITAIS E INSTITUTOS DAQUELE MINISTÉRIO,</v>
      </c>
      <c r="I6" s="171" t="s">
        <v>53</v>
      </c>
      <c r="J6" s="172">
        <v>44287</v>
      </c>
      <c r="K6" s="168">
        <v>27</v>
      </c>
      <c r="L6" s="173">
        <v>30</v>
      </c>
      <c r="M6" s="176">
        <f>20.2+70.24</f>
        <v>90.44</v>
      </c>
      <c r="N6" s="176">
        <v>485.49</v>
      </c>
      <c r="O6" s="52"/>
      <c r="P6" s="53"/>
      <c r="Q6" s="174">
        <v>1595.75</v>
      </c>
      <c r="R6" s="175">
        <f>985.56+8</f>
        <v>993.56</v>
      </c>
      <c r="S6" s="197">
        <f t="shared" si="1"/>
        <v>3165.2400000000002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s="162" customFormat="1" ht="57" customHeight="1">
      <c r="A7" s="11"/>
      <c r="B7" s="195">
        <v>3</v>
      </c>
      <c r="C7" s="166" t="s">
        <v>70</v>
      </c>
      <c r="D7" s="168" t="s">
        <v>48</v>
      </c>
      <c r="E7" s="169" t="s">
        <v>172</v>
      </c>
      <c r="F7" s="169" t="s">
        <v>77</v>
      </c>
      <c r="G7" s="170" t="s">
        <v>74</v>
      </c>
      <c r="H7" s="48" t="str">
        <f t="shared" si="0"/>
        <v>REUNIÕES PRESENCIAIS E VISITAS DE DIAGNÓSTICO REALIZADAS EM CONJUNTO REPRESENTANTES DO MINISTÉRIO DA SAÚDE PARA PLANEJAMENTO DA IMPLANTAÇÃO DO AGHUSE NOS HOSPITAIS E INSTITUTOS DAQUELE MINISTÉRIO,</v>
      </c>
      <c r="I7" s="171" t="s">
        <v>53</v>
      </c>
      <c r="J7" s="172">
        <v>44287</v>
      </c>
      <c r="K7" s="168">
        <v>27</v>
      </c>
      <c r="L7" s="173">
        <v>30</v>
      </c>
      <c r="M7" s="176">
        <v>29.69</v>
      </c>
      <c r="N7" s="176">
        <v>394.44</v>
      </c>
      <c r="O7" s="52"/>
      <c r="P7" s="53"/>
      <c r="Q7" s="174">
        <f>752.79+690.06</f>
        <v>1442.85</v>
      </c>
      <c r="R7" s="175">
        <f>985.56+16</f>
        <v>1001.56</v>
      </c>
      <c r="S7" s="197">
        <f t="shared" si="1"/>
        <v>2868.54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60" customHeight="1">
      <c r="A8" s="11"/>
      <c r="B8" s="195">
        <v>4</v>
      </c>
      <c r="C8" s="165" t="s">
        <v>71</v>
      </c>
      <c r="D8" s="196" t="s">
        <v>78</v>
      </c>
      <c r="E8" s="169" t="s">
        <v>173</v>
      </c>
      <c r="F8" s="198" t="s">
        <v>79</v>
      </c>
      <c r="G8" s="170" t="s">
        <v>74</v>
      </c>
      <c r="H8" s="48" t="str">
        <f t="shared" si="0"/>
        <v>REUNIÕES PRESENCIAIS E VISITAS DE DIAGNÓSTICO REALIZADAS EM CONJUNTO REPRESENTANTES DO MINISTÉRIO DA SAÚDE PARA PLANEJAMENTO DA IMPLANTAÇÃO DO AGHUSE NOS HOSPITAIS E INSTITUTOS DAQUELE MINISTÉRIO,</v>
      </c>
      <c r="I8" s="171" t="s">
        <v>53</v>
      </c>
      <c r="J8" s="172">
        <v>44287</v>
      </c>
      <c r="K8" s="168">
        <v>27</v>
      </c>
      <c r="L8" s="173">
        <v>30</v>
      </c>
      <c r="M8" s="176">
        <v>0</v>
      </c>
      <c r="N8" s="176">
        <v>0</v>
      </c>
      <c r="O8" s="52"/>
      <c r="P8" s="53"/>
      <c r="Q8" s="174">
        <v>1595.75</v>
      </c>
      <c r="R8" s="175">
        <v>0</v>
      </c>
      <c r="S8" s="197">
        <f t="shared" si="1"/>
        <v>1595.75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60" customHeight="1" thickBot="1">
      <c r="A9" s="11"/>
      <c r="B9" s="199">
        <v>5</v>
      </c>
      <c r="C9" s="200" t="s">
        <v>72</v>
      </c>
      <c r="D9" s="201" t="s">
        <v>80</v>
      </c>
      <c r="E9" s="201" t="s">
        <v>174</v>
      </c>
      <c r="F9" s="202" t="s">
        <v>81</v>
      </c>
      <c r="G9" s="203" t="s">
        <v>74</v>
      </c>
      <c r="H9" s="204" t="str">
        <f t="shared" si="0"/>
        <v>REUNIÕES PRESENCIAIS E VISITAS DE DIAGNÓSTICO REALIZADAS EM CONJUNTO REPRESENTANTES DO MINISTÉRIO DA SAÚDE PARA PLANEJAMENTO DA IMPLANTAÇÃO DO AGHUSE NOS HOSPITAIS E INSTITUTOS DAQUELE MINISTÉRIO,</v>
      </c>
      <c r="I9" s="205" t="s">
        <v>53</v>
      </c>
      <c r="J9" s="206">
        <v>44287</v>
      </c>
      <c r="K9" s="207">
        <v>27</v>
      </c>
      <c r="L9" s="208">
        <v>30</v>
      </c>
      <c r="M9" s="209">
        <v>101.6</v>
      </c>
      <c r="N9" s="209">
        <v>410.89</v>
      </c>
      <c r="O9" s="210"/>
      <c r="P9" s="211"/>
      <c r="Q9" s="212">
        <v>2075.75</v>
      </c>
      <c r="R9" s="213">
        <f>985.56+40</f>
        <v>1025.56</v>
      </c>
      <c r="S9" s="214">
        <f t="shared" si="1"/>
        <v>3613.7999999999997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thickBot="1">
      <c r="A10" s="11"/>
      <c r="B10" s="15"/>
      <c r="C10" s="16"/>
      <c r="D10" s="17"/>
      <c r="E10" s="17"/>
      <c r="F10" s="17"/>
      <c r="G10" s="17"/>
      <c r="H10" s="17"/>
      <c r="I10" s="17"/>
      <c r="J10" s="71"/>
      <c r="K10" s="72"/>
      <c r="L10" s="72"/>
      <c r="M10" s="18"/>
      <c r="N10" s="18"/>
      <c r="O10" s="18"/>
      <c r="P10" s="12"/>
      <c r="Q10" s="19"/>
      <c r="R10" s="20"/>
      <c r="S10" s="2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6.5" thickBot="1">
      <c r="A11" s="22"/>
      <c r="B11" s="73" t="s">
        <v>14</v>
      </c>
      <c r="C11" s="22"/>
      <c r="D11" s="74" t="s">
        <v>50</v>
      </c>
      <c r="E11" s="75"/>
      <c r="F11" s="22"/>
      <c r="G11" s="22"/>
      <c r="H11" s="22"/>
      <c r="I11" s="76"/>
      <c r="J11" s="22"/>
      <c r="K11" s="15"/>
      <c r="L11" s="22"/>
      <c r="M11" s="93">
        <f t="shared" ref="M11:R11" si="2">SUM(M5:M9)</f>
        <v>388.78999999999996</v>
      </c>
      <c r="N11" s="93">
        <f t="shared" si="2"/>
        <v>1727.92</v>
      </c>
      <c r="O11" s="93">
        <f t="shared" si="2"/>
        <v>0</v>
      </c>
      <c r="P11" s="98">
        <f t="shared" si="2"/>
        <v>0</v>
      </c>
      <c r="Q11" s="79">
        <f t="shared" si="2"/>
        <v>8305.85</v>
      </c>
      <c r="R11" s="80">
        <f t="shared" si="2"/>
        <v>4038.24</v>
      </c>
      <c r="S11" s="24">
        <f>SUM(S5:S9)+P12</f>
        <v>14460.8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ht="15.75">
      <c r="A12" s="25"/>
      <c r="B12" s="25"/>
      <c r="C12" s="25"/>
      <c r="D12" s="406"/>
      <c r="E12" s="402"/>
      <c r="F12" s="402"/>
      <c r="G12" s="402"/>
      <c r="H12" s="402"/>
      <c r="I12" s="402"/>
      <c r="J12" s="402"/>
      <c r="K12" s="402"/>
      <c r="L12" s="25"/>
      <c r="M12" s="26"/>
      <c r="N12" s="26"/>
      <c r="O12" s="81" t="s">
        <v>14</v>
      </c>
      <c r="P12" s="12">
        <f>P11*1%</f>
        <v>0</v>
      </c>
      <c r="Q12" s="25"/>
      <c r="R12" s="25"/>
      <c r="S12" s="30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15.75">
      <c r="A13" s="25"/>
      <c r="B13" s="25"/>
      <c r="C13" s="75"/>
      <c r="D13" s="75"/>
      <c r="E13" s="75"/>
      <c r="F13" s="75"/>
      <c r="G13" s="25"/>
      <c r="H13" s="25"/>
      <c r="I13" s="28"/>
      <c r="J13" s="25"/>
      <c r="K13" s="25"/>
      <c r="L13" s="25"/>
      <c r="M13" s="26"/>
      <c r="N13" s="26"/>
      <c r="O13" s="26"/>
      <c r="P13" s="82">
        <f>P11+P12</f>
        <v>0</v>
      </c>
      <c r="Q13" s="29"/>
      <c r="R13" s="30"/>
      <c r="S13" s="83" t="s">
        <v>51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7">
      <c r="A14" s="25"/>
      <c r="B14" s="25"/>
      <c r="C14" s="25"/>
      <c r="D14" s="407"/>
      <c r="E14" s="402"/>
      <c r="F14" s="402"/>
      <c r="G14" s="402"/>
      <c r="H14" s="402"/>
      <c r="I14" s="402"/>
      <c r="J14" s="402"/>
      <c r="K14" s="402"/>
      <c r="L14" s="25"/>
      <c r="M14" s="26"/>
      <c r="N14" s="26"/>
      <c r="O14" s="26"/>
      <c r="P14" s="12"/>
      <c r="Q14" s="4" t="s">
        <v>26</v>
      </c>
      <c r="R14" s="84">
        <f>M11+N11+O11+P13+Q11+R11</f>
        <v>14460.800000000001</v>
      </c>
      <c r="S14" s="35">
        <f>S11-R14</f>
        <v>0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15.75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81" t="s">
        <v>14</v>
      </c>
      <c r="P15" s="12" t="s">
        <v>52</v>
      </c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3:19" ht="15.75" customHeight="1">
      <c r="C23" s="1"/>
      <c r="I23" s="2"/>
      <c r="J23" s="41"/>
      <c r="K23" s="41"/>
      <c r="L23" s="41"/>
      <c r="M23" s="3"/>
      <c r="N23" s="3"/>
      <c r="O23" s="3"/>
      <c r="P23" s="12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12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85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25"/>
    </row>
    <row r="27" spans="3:19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  <c r="P27" s="25"/>
    </row>
    <row r="28" spans="3:19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P28" s="25"/>
    </row>
    <row r="29" spans="3:19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5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5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5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15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15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9" ht="15.75" customHeight="1">
      <c r="C92" s="1"/>
      <c r="D92" s="1"/>
      <c r="E92" s="1"/>
      <c r="F92" s="1"/>
      <c r="G92" s="1"/>
      <c r="H92" s="1"/>
      <c r="I92" s="2"/>
      <c r="J92" s="41"/>
      <c r="K92" s="41"/>
      <c r="L92" s="41"/>
    </row>
    <row r="93" spans="3:19" ht="15.75" customHeight="1">
      <c r="C93" s="1"/>
      <c r="D93" s="1"/>
      <c r="E93" s="1"/>
      <c r="F93" s="1"/>
      <c r="G93" s="1"/>
      <c r="H93" s="1"/>
      <c r="I93" s="2"/>
      <c r="J93" s="41"/>
      <c r="K93" s="41"/>
      <c r="L93" s="41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1"/>
      <c r="K985" s="41"/>
      <c r="L985" s="41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1"/>
      <c r="K986" s="41"/>
      <c r="L986" s="41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1"/>
      <c r="K987" s="41"/>
      <c r="L987" s="41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1"/>
      <c r="K988" s="41"/>
      <c r="L988" s="41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1"/>
      <c r="K989" s="41"/>
      <c r="L989" s="41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1"/>
      <c r="K990" s="41"/>
      <c r="L990" s="41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1"/>
      <c r="K991" s="41"/>
      <c r="L991" s="41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1"/>
      <c r="K992" s="41"/>
      <c r="L992" s="41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1"/>
      <c r="K993" s="41"/>
      <c r="L993" s="41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1"/>
      <c r="K994" s="41"/>
      <c r="L994" s="41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1"/>
      <c r="K995" s="41"/>
      <c r="L995" s="41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1"/>
      <c r="K996" s="41"/>
      <c r="L996" s="41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1"/>
      <c r="K997" s="41"/>
      <c r="L997" s="41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1"/>
      <c r="K998" s="41"/>
      <c r="L998" s="41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1"/>
      <c r="K999" s="41"/>
      <c r="L999" s="41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1"/>
      <c r="K1000" s="41"/>
      <c r="L1000" s="41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4:K14"/>
    <mergeCell ref="B2:S2"/>
    <mergeCell ref="M3:O3"/>
    <mergeCell ref="Q3:S3"/>
    <mergeCell ref="J4:L4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workbookViewId="0">
      <selection activeCell="L12" sqref="L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.75" thickBot="1">
      <c r="A1" s="42"/>
      <c r="B1" s="408" t="s">
        <v>59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2"/>
      <c r="B2" s="215"/>
      <c r="C2" s="215"/>
      <c r="D2" s="215"/>
      <c r="E2" s="215"/>
      <c r="F2" s="216" t="s">
        <v>54</v>
      </c>
      <c r="G2" s="215"/>
      <c r="H2" s="215"/>
      <c r="I2" s="215"/>
      <c r="J2" s="215"/>
      <c r="K2" s="215"/>
      <c r="L2" s="117"/>
      <c r="M2" s="416" t="s">
        <v>0</v>
      </c>
      <c r="N2" s="413"/>
      <c r="O2" s="414"/>
      <c r="P2" s="217" t="s">
        <v>33</v>
      </c>
      <c r="Q2" s="417" t="s">
        <v>34</v>
      </c>
      <c r="R2" s="413"/>
      <c r="S2" s="41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218" t="s">
        <v>35</v>
      </c>
      <c r="C3" s="219" t="s">
        <v>36</v>
      </c>
      <c r="D3" s="220" t="s">
        <v>37</v>
      </c>
      <c r="E3" s="221" t="s">
        <v>38</v>
      </c>
      <c r="F3" s="221" t="s">
        <v>39</v>
      </c>
      <c r="G3" s="222" t="s">
        <v>40</v>
      </c>
      <c r="H3" s="221" t="s">
        <v>41</v>
      </c>
      <c r="I3" s="221" t="s">
        <v>42</v>
      </c>
      <c r="J3" s="418" t="s">
        <v>43</v>
      </c>
      <c r="K3" s="419"/>
      <c r="L3" s="420"/>
      <c r="M3" s="223" t="s">
        <v>4</v>
      </c>
      <c r="N3" s="224" t="s">
        <v>5</v>
      </c>
      <c r="O3" s="225" t="s">
        <v>6</v>
      </c>
      <c r="P3" s="225" t="s">
        <v>4</v>
      </c>
      <c r="Q3" s="226" t="s">
        <v>8</v>
      </c>
      <c r="R3" s="227" t="s">
        <v>9</v>
      </c>
      <c r="S3" s="228" t="s">
        <v>45</v>
      </c>
    </row>
    <row r="4" spans="1:37" ht="11.25" customHeight="1">
      <c r="A4" s="11"/>
      <c r="B4" s="229">
        <v>1</v>
      </c>
      <c r="C4" s="46"/>
      <c r="D4" s="58"/>
      <c r="E4" s="230"/>
      <c r="F4" s="96"/>
      <c r="G4" s="231"/>
      <c r="H4" s="88" t="str">
        <f t="shared" ref="H4:H6" si="0">UPPER(G4)</f>
        <v/>
      </c>
      <c r="I4" s="48"/>
      <c r="J4" s="57"/>
      <c r="K4" s="58"/>
      <c r="L4" s="58"/>
      <c r="M4" s="89"/>
      <c r="N4" s="89"/>
      <c r="O4" s="89"/>
      <c r="P4" s="94"/>
      <c r="Q4" s="54"/>
      <c r="R4" s="55"/>
      <c r="S4" s="232">
        <f t="shared" ref="S4:S6" si="1">M4+N4+O4+P4+Q4+R4</f>
        <v>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12.75" customHeight="1">
      <c r="A5" s="11"/>
      <c r="B5" s="195">
        <v>2</v>
      </c>
      <c r="C5" s="46"/>
      <c r="D5" s="101"/>
      <c r="E5" s="138"/>
      <c r="F5" s="140"/>
      <c r="G5" s="102"/>
      <c r="H5" s="48" t="str">
        <f t="shared" si="0"/>
        <v/>
      </c>
      <c r="I5" s="48"/>
      <c r="J5" s="103"/>
      <c r="K5" s="51"/>
      <c r="L5" s="51"/>
      <c r="M5" s="52"/>
      <c r="N5" s="52"/>
      <c r="O5" s="52"/>
      <c r="P5" s="104"/>
      <c r="Q5" s="54"/>
      <c r="R5" s="55"/>
      <c r="S5" s="197">
        <f t="shared" si="1"/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2.75" customHeight="1" thickBot="1">
      <c r="A6" s="11"/>
      <c r="B6" s="199">
        <v>3</v>
      </c>
      <c r="C6" s="233"/>
      <c r="D6" s="234"/>
      <c r="E6" s="235"/>
      <c r="F6" s="236"/>
      <c r="G6" s="236"/>
      <c r="H6" s="204" t="str">
        <f t="shared" si="0"/>
        <v/>
      </c>
      <c r="I6" s="204"/>
      <c r="J6" s="237"/>
      <c r="K6" s="238"/>
      <c r="L6" s="238"/>
      <c r="M6" s="210"/>
      <c r="N6" s="210"/>
      <c r="O6" s="210"/>
      <c r="P6" s="239"/>
      <c r="Q6" s="240"/>
      <c r="R6" s="241"/>
      <c r="S6" s="214">
        <f t="shared" si="1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thickBot="1">
      <c r="A7" s="11"/>
      <c r="B7" s="15"/>
      <c r="C7" s="16"/>
      <c r="D7" s="17"/>
      <c r="E7" s="17"/>
      <c r="F7" s="17"/>
      <c r="G7" s="17"/>
      <c r="H7" s="17"/>
      <c r="I7" s="17"/>
      <c r="J7" s="71"/>
      <c r="K7" s="72"/>
      <c r="L7" s="72"/>
      <c r="M7" s="18"/>
      <c r="N7" s="18"/>
      <c r="O7" s="18"/>
      <c r="P7" s="12"/>
      <c r="Q7" s="19"/>
      <c r="R7" s="20"/>
      <c r="S7" s="2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>
      <c r="A8" s="22"/>
      <c r="B8" s="73" t="s">
        <v>14</v>
      </c>
      <c r="C8" s="22"/>
      <c r="D8" s="74" t="s">
        <v>50</v>
      </c>
      <c r="E8" s="75"/>
      <c r="F8" s="22"/>
      <c r="G8" s="22"/>
      <c r="H8" s="22"/>
      <c r="I8" s="76"/>
      <c r="J8" s="22"/>
      <c r="K8" s="15"/>
      <c r="L8" s="22"/>
      <c r="M8" s="93">
        <f t="shared" ref="M8:R8" si="2">SUM(M4:M6)</f>
        <v>0</v>
      </c>
      <c r="N8" s="93">
        <f t="shared" si="2"/>
        <v>0</v>
      </c>
      <c r="O8" s="93">
        <f t="shared" si="2"/>
        <v>0</v>
      </c>
      <c r="P8" s="98">
        <f t="shared" si="2"/>
        <v>0</v>
      </c>
      <c r="Q8" s="79">
        <f t="shared" si="2"/>
        <v>0</v>
      </c>
      <c r="R8" s="80">
        <f t="shared" si="2"/>
        <v>0</v>
      </c>
      <c r="S8" s="24">
        <f>SUM(S4:S6)+P9</f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5.75">
      <c r="A9" s="25"/>
      <c r="B9" s="25"/>
      <c r="C9" s="25"/>
      <c r="D9" s="406"/>
      <c r="E9" s="402"/>
      <c r="F9" s="402"/>
      <c r="G9" s="402"/>
      <c r="H9" s="402"/>
      <c r="I9" s="402"/>
      <c r="J9" s="402"/>
      <c r="K9" s="402"/>
      <c r="L9" s="25"/>
      <c r="M9" s="26"/>
      <c r="N9" s="26"/>
      <c r="O9" s="81" t="s">
        <v>14</v>
      </c>
      <c r="P9" s="12">
        <f>P8*1%</f>
        <v>0</v>
      </c>
      <c r="Q9" s="25"/>
      <c r="R9" s="25"/>
      <c r="S9" s="3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>
      <c r="A10" s="25"/>
      <c r="B10" s="25"/>
      <c r="C10" s="25"/>
      <c r="D10" s="75"/>
      <c r="E10" s="75"/>
      <c r="F10" s="75"/>
      <c r="G10" s="25"/>
      <c r="H10" s="25"/>
      <c r="I10" s="28"/>
      <c r="J10" s="25"/>
      <c r="K10" s="25"/>
      <c r="L10" s="25"/>
      <c r="M10" s="26"/>
      <c r="N10" s="26"/>
      <c r="O10" s="26"/>
      <c r="P10" s="82">
        <f>P8+P9</f>
        <v>0</v>
      </c>
      <c r="Q10" s="29"/>
      <c r="R10" s="30"/>
      <c r="S10" s="83" t="s">
        <v>51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>
      <c r="A11" s="25"/>
      <c r="B11" s="25"/>
      <c r="C11" s="25"/>
      <c r="D11" s="407"/>
      <c r="E11" s="402"/>
      <c r="F11" s="402"/>
      <c r="G11" s="402"/>
      <c r="H11" s="402"/>
      <c r="I11" s="402"/>
      <c r="J11" s="402"/>
      <c r="K11" s="402"/>
      <c r="L11" s="25"/>
      <c r="M11" s="26"/>
      <c r="N11" s="26"/>
      <c r="O11" s="26"/>
      <c r="P11" s="12"/>
      <c r="Q11" s="4" t="s">
        <v>26</v>
      </c>
      <c r="R11" s="84">
        <f>M8+N8+O8+P10+Q8+R8</f>
        <v>0</v>
      </c>
      <c r="S11" s="35">
        <f>S8-R11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>
      <c r="C12" s="1"/>
      <c r="D12" s="1"/>
      <c r="E12" s="1"/>
      <c r="F12" s="1"/>
      <c r="G12" s="1"/>
      <c r="H12" s="1"/>
      <c r="I12" s="2"/>
      <c r="J12" s="41"/>
      <c r="K12" s="41"/>
      <c r="L12" s="41"/>
      <c r="M12" s="3"/>
      <c r="N12" s="3"/>
      <c r="O12" s="81" t="s">
        <v>14</v>
      </c>
      <c r="P12" s="12" t="s">
        <v>52</v>
      </c>
      <c r="Q12" s="4"/>
      <c r="R12" s="5"/>
      <c r="S12" s="5"/>
    </row>
    <row r="13" spans="1:37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3"/>
      <c r="P13" s="12"/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</row>
    <row r="19" spans="3:19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</row>
    <row r="20" spans="3:19" ht="15.75" customHeight="1">
      <c r="C20" s="1"/>
      <c r="I20" s="2"/>
      <c r="J20" s="41"/>
      <c r="K20" s="41"/>
      <c r="L20" s="41"/>
      <c r="M20" s="3"/>
      <c r="N20" s="3"/>
      <c r="O20" s="3"/>
      <c r="P20" s="12"/>
    </row>
    <row r="21" spans="3:19" ht="15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</row>
    <row r="22" spans="3:19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85"/>
    </row>
    <row r="23" spans="3:19" ht="15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25"/>
    </row>
    <row r="24" spans="3:19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</row>
    <row r="25" spans="3:19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25"/>
    </row>
    <row r="26" spans="3:19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</row>
    <row r="27" spans="3:19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</row>
    <row r="35" spans="3:15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</row>
    <row r="36" spans="3:15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</row>
    <row r="37" spans="3:15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</row>
    <row r="38" spans="3:15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</row>
    <row r="39" spans="3:15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</row>
    <row r="40" spans="3:15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5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5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5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5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5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5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15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9" ht="15.75" customHeight="1">
      <c r="C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1"/>
      <c r="K985" s="41"/>
      <c r="L985" s="41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1"/>
      <c r="K986" s="41"/>
      <c r="L986" s="41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1"/>
      <c r="K987" s="41"/>
      <c r="L987" s="41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1"/>
      <c r="K988" s="41"/>
      <c r="L988" s="41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1"/>
      <c r="K989" s="41"/>
      <c r="L989" s="41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1"/>
      <c r="K990" s="41"/>
      <c r="L990" s="41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1"/>
      <c r="K991" s="41"/>
      <c r="L991" s="41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1"/>
      <c r="K992" s="41"/>
      <c r="L992" s="41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1"/>
      <c r="K993" s="41"/>
      <c r="L993" s="41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1"/>
      <c r="K994" s="41"/>
      <c r="L994" s="41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1"/>
      <c r="K995" s="41"/>
      <c r="L995" s="41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1"/>
      <c r="K996" s="41"/>
      <c r="L996" s="41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1"/>
      <c r="K997" s="41"/>
      <c r="L997" s="41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1"/>
      <c r="K998" s="41"/>
      <c r="L998" s="41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1"/>
      <c r="K999" s="41"/>
      <c r="L999" s="41"/>
      <c r="M999" s="3"/>
      <c r="N999" s="3"/>
      <c r="O999" s="3"/>
      <c r="Q999" s="4"/>
      <c r="R999" s="5"/>
      <c r="S99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>
      <selection activeCell="H19" sqref="H1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42"/>
      <c r="B1" s="408" t="s">
        <v>60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2"/>
      <c r="B2" s="99"/>
      <c r="C2" s="99"/>
      <c r="D2" s="99"/>
      <c r="E2" s="99"/>
      <c r="F2" s="105" t="s">
        <v>54</v>
      </c>
      <c r="G2" s="99"/>
      <c r="H2" s="99"/>
      <c r="I2" s="99"/>
      <c r="J2" s="99"/>
      <c r="K2" s="99"/>
      <c r="L2" s="100"/>
      <c r="M2" s="410" t="s">
        <v>0</v>
      </c>
      <c r="N2" s="404"/>
      <c r="O2" s="405"/>
      <c r="P2" s="43" t="s">
        <v>33</v>
      </c>
      <c r="Q2" s="411" t="s">
        <v>34</v>
      </c>
      <c r="R2" s="404"/>
      <c r="S2" s="40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108" t="s">
        <v>35</v>
      </c>
      <c r="C3" s="107" t="s">
        <v>36</v>
      </c>
      <c r="D3" s="177" t="s">
        <v>37</v>
      </c>
      <c r="E3" s="108" t="s">
        <v>38</v>
      </c>
      <c r="F3" s="108" t="s">
        <v>39</v>
      </c>
      <c r="G3" s="109" t="s">
        <v>40</v>
      </c>
      <c r="H3" s="108" t="s">
        <v>41</v>
      </c>
      <c r="I3" s="108" t="s">
        <v>42</v>
      </c>
      <c r="J3" s="412" t="s">
        <v>43</v>
      </c>
      <c r="K3" s="413"/>
      <c r="L3" s="414"/>
      <c r="M3" s="110" t="s">
        <v>4</v>
      </c>
      <c r="N3" s="111" t="s">
        <v>5</v>
      </c>
      <c r="O3" s="112" t="s">
        <v>6</v>
      </c>
      <c r="P3" s="112" t="s">
        <v>4</v>
      </c>
      <c r="Q3" s="178" t="s">
        <v>8</v>
      </c>
      <c r="R3" s="113" t="s">
        <v>9</v>
      </c>
      <c r="S3" s="114" t="s">
        <v>45</v>
      </c>
    </row>
    <row r="4" spans="1:37" ht="12.75" customHeight="1">
      <c r="A4" s="11"/>
      <c r="B4" s="179">
        <v>1</v>
      </c>
      <c r="C4" s="247"/>
      <c r="D4" s="286"/>
      <c r="E4" s="287"/>
      <c r="F4" s="288"/>
      <c r="G4" s="250"/>
      <c r="H4" s="185" t="str">
        <f t="shared" ref="H4:H6" si="0">UPPER(G4)</f>
        <v/>
      </c>
      <c r="I4" s="185"/>
      <c r="J4" s="289"/>
      <c r="K4" s="252"/>
      <c r="L4" s="252"/>
      <c r="M4" s="190"/>
      <c r="N4" s="190"/>
      <c r="O4" s="190"/>
      <c r="P4" s="191"/>
      <c r="Q4" s="253"/>
      <c r="R4" s="254"/>
      <c r="S4" s="194">
        <f t="shared" ref="S4:S6" si="1">M4+N4+O4+P4+Q4+R4</f>
        <v>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12.75" customHeight="1">
      <c r="A5" s="11"/>
      <c r="B5" s="195">
        <v>2</v>
      </c>
      <c r="C5" s="59"/>
      <c r="D5" s="106"/>
      <c r="E5" s="138"/>
      <c r="F5" s="255"/>
      <c r="G5" s="140"/>
      <c r="H5" s="48" t="str">
        <f t="shared" si="0"/>
        <v/>
      </c>
      <c r="I5" s="48"/>
      <c r="J5" s="97"/>
      <c r="K5" s="58"/>
      <c r="L5" s="58"/>
      <c r="M5" s="52"/>
      <c r="N5" s="52"/>
      <c r="O5" s="52"/>
      <c r="P5" s="53"/>
      <c r="Q5" s="54"/>
      <c r="R5" s="55"/>
      <c r="S5" s="197">
        <f t="shared" si="1"/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2.75" customHeight="1" thickBot="1">
      <c r="A6" s="11"/>
      <c r="B6" s="290">
        <v>3</v>
      </c>
      <c r="C6" s="233"/>
      <c r="D6" s="291"/>
      <c r="E6" s="235"/>
      <c r="F6" s="292"/>
      <c r="G6" s="279"/>
      <c r="H6" s="204" t="str">
        <f t="shared" si="0"/>
        <v/>
      </c>
      <c r="I6" s="279"/>
      <c r="J6" s="285"/>
      <c r="K6" s="279"/>
      <c r="L6" s="279"/>
      <c r="M6" s="210"/>
      <c r="N6" s="210"/>
      <c r="O6" s="210"/>
      <c r="P6" s="258"/>
      <c r="Q6" s="240"/>
      <c r="R6" s="241"/>
      <c r="S6" s="214">
        <f t="shared" si="1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.75" customHeight="1" thickBot="1">
      <c r="A7" s="11"/>
      <c r="B7" s="15"/>
      <c r="C7" s="16"/>
      <c r="D7" s="17"/>
      <c r="E7" s="17"/>
      <c r="F7" s="17"/>
      <c r="G7" s="17"/>
      <c r="H7" s="17"/>
      <c r="I7" s="17"/>
      <c r="J7" s="71"/>
      <c r="K7" s="72"/>
      <c r="L7" s="72"/>
      <c r="M7" s="18"/>
      <c r="N7" s="18"/>
      <c r="O7" s="18"/>
      <c r="P7" s="12"/>
      <c r="Q7" s="19"/>
      <c r="R7" s="20"/>
      <c r="S7" s="2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>
      <c r="A8" s="22"/>
      <c r="B8" s="73" t="s">
        <v>14</v>
      </c>
      <c r="C8" s="75"/>
      <c r="D8" s="74" t="s">
        <v>50</v>
      </c>
      <c r="E8" s="75"/>
      <c r="F8" s="22"/>
      <c r="G8" s="22"/>
      <c r="H8" s="22"/>
      <c r="I8" s="76"/>
      <c r="J8" s="22"/>
      <c r="K8" s="15"/>
      <c r="L8" s="22"/>
      <c r="M8" s="93">
        <f t="shared" ref="M8:R8" si="2">SUM(M4:M6)</f>
        <v>0</v>
      </c>
      <c r="N8" s="93">
        <f t="shared" si="2"/>
        <v>0</v>
      </c>
      <c r="O8" s="93">
        <f t="shared" si="2"/>
        <v>0</v>
      </c>
      <c r="P8" s="98">
        <f t="shared" si="2"/>
        <v>0</v>
      </c>
      <c r="Q8" s="79">
        <f t="shared" si="2"/>
        <v>0</v>
      </c>
      <c r="R8" s="80">
        <f t="shared" si="2"/>
        <v>0</v>
      </c>
      <c r="S8" s="24">
        <f>SUM(S4:S6)+P9</f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5.75" customHeight="1">
      <c r="A9" s="25"/>
      <c r="B9" s="25"/>
      <c r="C9" s="75"/>
      <c r="D9" s="406"/>
      <c r="E9" s="402"/>
      <c r="F9" s="402"/>
      <c r="G9" s="402"/>
      <c r="H9" s="402"/>
      <c r="I9" s="402"/>
      <c r="J9" s="402"/>
      <c r="K9" s="402"/>
      <c r="L9" s="25"/>
      <c r="M9" s="26"/>
      <c r="N9" s="26"/>
      <c r="O9" s="81" t="s">
        <v>14</v>
      </c>
      <c r="P9" s="12">
        <f>P8*1%</f>
        <v>0</v>
      </c>
      <c r="Q9" s="25"/>
      <c r="R9" s="25"/>
      <c r="S9" s="3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 customHeight="1">
      <c r="A10" s="25"/>
      <c r="B10" s="25"/>
      <c r="C10" s="25"/>
      <c r="D10" s="25"/>
      <c r="E10" s="25"/>
      <c r="F10" s="25"/>
      <c r="G10" s="25"/>
      <c r="H10" s="25"/>
      <c r="I10" s="28"/>
      <c r="J10" s="25"/>
      <c r="K10" s="25"/>
      <c r="L10" s="25"/>
      <c r="M10" s="26"/>
      <c r="N10" s="26"/>
      <c r="O10" s="26"/>
      <c r="P10" s="82">
        <f>P8+P9</f>
        <v>0</v>
      </c>
      <c r="Q10" s="29"/>
      <c r="R10" s="30"/>
      <c r="S10" s="83" t="s">
        <v>51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>
      <c r="A11" s="25"/>
      <c r="B11" s="25"/>
      <c r="C11" s="75"/>
      <c r="D11" s="407"/>
      <c r="E11" s="402"/>
      <c r="F11" s="402"/>
      <c r="G11" s="402"/>
      <c r="H11" s="402"/>
      <c r="I11" s="402"/>
      <c r="J11" s="402"/>
      <c r="K11" s="402"/>
      <c r="L11" s="25"/>
      <c r="M11" s="26"/>
      <c r="N11" s="26"/>
      <c r="O11" s="26"/>
      <c r="P11" s="12"/>
      <c r="Q11" s="4" t="s">
        <v>26</v>
      </c>
      <c r="R11" s="84">
        <f>M8+N8+O8+P10+Q8+R8</f>
        <v>0</v>
      </c>
      <c r="S11" s="35">
        <f>S8-R11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 customHeight="1">
      <c r="C12" s="1"/>
      <c r="D12" s="1"/>
      <c r="E12" s="1"/>
      <c r="F12" s="1"/>
      <c r="G12" s="1"/>
      <c r="H12" s="1"/>
      <c r="I12" s="2"/>
      <c r="J12" s="41"/>
      <c r="K12" s="41"/>
      <c r="L12" s="41"/>
      <c r="M12" s="3"/>
      <c r="N12" s="3"/>
      <c r="O12" s="81" t="s">
        <v>14</v>
      </c>
      <c r="P12" s="12" t="s">
        <v>52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1"/>
      <c r="K13" s="41"/>
      <c r="L13" s="41"/>
      <c r="M13" s="3"/>
      <c r="N13" s="3"/>
      <c r="O13" s="3"/>
      <c r="P13" s="12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1"/>
      <c r="K14" s="41"/>
      <c r="L14" s="41"/>
      <c r="M14" s="3"/>
      <c r="N14" s="3"/>
      <c r="O14" s="3"/>
      <c r="P14" s="12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1"/>
      <c r="K15" s="41"/>
      <c r="L15" s="41"/>
      <c r="M15" s="3"/>
      <c r="N15" s="3"/>
      <c r="O15" s="3"/>
      <c r="P15" s="12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1"/>
      <c r="K16" s="41"/>
      <c r="L16" s="41"/>
      <c r="M16" s="3"/>
      <c r="N16" s="3"/>
      <c r="O16" s="3"/>
      <c r="P16" s="12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3"/>
      <c r="P17" s="12"/>
    </row>
    <row r="18" spans="3:16" ht="15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</row>
    <row r="19" spans="3:16" ht="15.75" customHeight="1">
      <c r="C19" s="1"/>
      <c r="I19" s="2"/>
      <c r="J19" s="41"/>
      <c r="K19" s="41"/>
      <c r="L19" s="41"/>
      <c r="M19" s="3"/>
      <c r="N19" s="3"/>
      <c r="O19" s="3"/>
      <c r="P19" s="12"/>
    </row>
    <row r="20" spans="3:16" ht="15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</row>
    <row r="21" spans="3:16" ht="15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85"/>
    </row>
    <row r="22" spans="3:16" ht="15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25"/>
    </row>
    <row r="23" spans="3:16" ht="15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25"/>
    </row>
    <row r="24" spans="3:16" ht="15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25"/>
    </row>
    <row r="25" spans="3:16" ht="15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</row>
    <row r="34" spans="3:12" ht="15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</row>
    <row r="35" spans="3:12" ht="15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</row>
    <row r="36" spans="3:12" ht="15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</row>
    <row r="37" spans="3:12" ht="15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</row>
    <row r="38" spans="3:12" ht="15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</row>
    <row r="39" spans="3:12" ht="15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</row>
    <row r="40" spans="3:12" ht="15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</row>
    <row r="41" spans="3:12" ht="15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</row>
    <row r="42" spans="3:12" ht="15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</row>
    <row r="43" spans="3:12" ht="15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</row>
    <row r="44" spans="3:12" ht="15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</row>
    <row r="45" spans="3:12" ht="15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</row>
    <row r="46" spans="3:12" ht="15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2" ht="15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2" ht="15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15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15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15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15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15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15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15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15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15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15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15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15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15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15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15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15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15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15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15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15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15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15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15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15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15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15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15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15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15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15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15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15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9" ht="15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9" ht="15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9" ht="15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9" ht="15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9" ht="15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9" ht="15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9" ht="15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9" ht="15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9" ht="15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9" ht="15.75" customHeight="1">
      <c r="C90" s="1"/>
      <c r="I90" s="2"/>
      <c r="J90" s="41"/>
      <c r="K90" s="41"/>
      <c r="L90" s="41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workbookViewId="0">
      <selection activeCell="E12" sqref="E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 thickBot="1">
      <c r="A1" s="42"/>
      <c r="B1" s="408" t="s">
        <v>61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2"/>
      <c r="B2" s="215"/>
      <c r="C2" s="215"/>
      <c r="D2" s="215"/>
      <c r="E2" s="215"/>
      <c r="F2" s="318"/>
      <c r="G2" s="215"/>
      <c r="H2" s="215"/>
      <c r="I2" s="215"/>
      <c r="J2" s="215"/>
      <c r="K2" s="215"/>
      <c r="L2" s="117"/>
      <c r="M2" s="416" t="s">
        <v>0</v>
      </c>
      <c r="N2" s="413"/>
      <c r="O2" s="414"/>
      <c r="P2" s="217" t="s">
        <v>33</v>
      </c>
      <c r="Q2" s="417" t="s">
        <v>34</v>
      </c>
      <c r="R2" s="413"/>
      <c r="S2" s="41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 thickBot="1">
      <c r="B3" s="301" t="s">
        <v>35</v>
      </c>
      <c r="C3" s="302" t="s">
        <v>36</v>
      </c>
      <c r="D3" s="303" t="s">
        <v>37</v>
      </c>
      <c r="E3" s="304" t="s">
        <v>38</v>
      </c>
      <c r="F3" s="304" t="s">
        <v>39</v>
      </c>
      <c r="G3" s="305" t="s">
        <v>40</v>
      </c>
      <c r="H3" s="304" t="s">
        <v>41</v>
      </c>
      <c r="I3" s="304" t="s">
        <v>42</v>
      </c>
      <c r="J3" s="421" t="s">
        <v>43</v>
      </c>
      <c r="K3" s="422"/>
      <c r="L3" s="423"/>
      <c r="M3" s="306" t="s">
        <v>4</v>
      </c>
      <c r="N3" s="307" t="s">
        <v>5</v>
      </c>
      <c r="O3" s="308" t="s">
        <v>6</v>
      </c>
      <c r="P3" s="308" t="s">
        <v>4</v>
      </c>
      <c r="Q3" s="309" t="s">
        <v>8</v>
      </c>
      <c r="R3" s="310" t="s">
        <v>9</v>
      </c>
      <c r="S3" s="311" t="s">
        <v>45</v>
      </c>
    </row>
    <row r="4" spans="1:37" ht="36.75" customHeight="1">
      <c r="A4" s="11"/>
      <c r="B4" s="179">
        <v>1</v>
      </c>
      <c r="C4" s="180" t="s">
        <v>82</v>
      </c>
      <c r="D4" s="312" t="s">
        <v>90</v>
      </c>
      <c r="E4" s="313" t="s">
        <v>175</v>
      </c>
      <c r="F4" s="186" t="s">
        <v>91</v>
      </c>
      <c r="G4" s="186" t="s">
        <v>92</v>
      </c>
      <c r="H4" s="299" t="str">
        <f t="shared" ref="H4:H11" si="0">UPPER(G4)</f>
        <v xml:space="preserve"> REALIZAÇÃO DE PILOTO DO PROJETO DROGÔMETROS - TREINAMENTO TEÓRICO E PRÁTICO COM A PRF</v>
      </c>
      <c r="I4" s="186" t="s">
        <v>49</v>
      </c>
      <c r="J4" s="187">
        <v>44409</v>
      </c>
      <c r="K4" s="181">
        <v>2</v>
      </c>
      <c r="L4" s="188">
        <v>3</v>
      </c>
      <c r="M4" s="190">
        <v>0</v>
      </c>
      <c r="N4" s="190">
        <v>0</v>
      </c>
      <c r="O4" s="190">
        <v>0</v>
      </c>
      <c r="P4" s="394">
        <v>0</v>
      </c>
      <c r="Q4" s="192">
        <f>1546.26</f>
        <v>1546.26</v>
      </c>
      <c r="R4" s="175">
        <f>(242*15%)+242+34.1</f>
        <v>312.40000000000003</v>
      </c>
      <c r="S4" s="294">
        <f t="shared" ref="S4:S11" si="1">M4+N4+O4+P4+Q4+R4</f>
        <v>1858.66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162" customFormat="1" ht="40.5" customHeight="1">
      <c r="A5" s="11"/>
      <c r="B5" s="295">
        <v>2</v>
      </c>
      <c r="C5" s="165" t="s">
        <v>83</v>
      </c>
      <c r="D5" s="298" t="s">
        <v>93</v>
      </c>
      <c r="E5" s="165" t="s">
        <v>176</v>
      </c>
      <c r="F5" s="168" t="s">
        <v>94</v>
      </c>
      <c r="G5" s="171" t="s">
        <v>92</v>
      </c>
      <c r="H5" s="300" t="str">
        <f t="shared" si="0"/>
        <v xml:space="preserve"> REALIZAÇÃO DE PILOTO DO PROJETO DROGÔMETROS - TREINAMENTO TEÓRICO E PRÁTICO COM A PRF</v>
      </c>
      <c r="I5" s="171" t="s">
        <v>49</v>
      </c>
      <c r="J5" s="172">
        <v>44409</v>
      </c>
      <c r="K5" s="168">
        <v>2</v>
      </c>
      <c r="L5" s="173">
        <v>6</v>
      </c>
      <c r="M5" s="176">
        <v>42.36</v>
      </c>
      <c r="N5" s="176">
        <v>222.01</v>
      </c>
      <c r="O5" s="44">
        <v>0</v>
      </c>
      <c r="P5" s="331">
        <v>130</v>
      </c>
      <c r="Q5" s="174">
        <f>1748.94</f>
        <v>1748.94</v>
      </c>
      <c r="R5" s="175">
        <f>(1302.95/2)+61.61+75</f>
        <v>788.08500000000004</v>
      </c>
      <c r="S5" s="296">
        <f t="shared" si="1"/>
        <v>2931.395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62" customFormat="1" ht="33.75" customHeight="1">
      <c r="A6" s="11"/>
      <c r="B6" s="295">
        <v>3</v>
      </c>
      <c r="C6" s="165" t="s">
        <v>84</v>
      </c>
      <c r="D6" s="298" t="s">
        <v>95</v>
      </c>
      <c r="E6" s="166" t="s">
        <v>177</v>
      </c>
      <c r="F6" s="168" t="s">
        <v>94</v>
      </c>
      <c r="G6" s="171" t="s">
        <v>92</v>
      </c>
      <c r="H6" s="300" t="str">
        <f t="shared" si="0"/>
        <v xml:space="preserve"> REALIZAÇÃO DE PILOTO DO PROJETO DROGÔMETROS - TREINAMENTO TEÓRICO E PRÁTICO COM A PRF</v>
      </c>
      <c r="I6" s="171" t="s">
        <v>49</v>
      </c>
      <c r="J6" s="172">
        <v>44409</v>
      </c>
      <c r="K6" s="168">
        <v>2</v>
      </c>
      <c r="L6" s="173">
        <v>6</v>
      </c>
      <c r="M6" s="44">
        <v>0</v>
      </c>
      <c r="N6" s="44">
        <v>219</v>
      </c>
      <c r="O6" s="44">
        <v>0</v>
      </c>
      <c r="P6" s="331">
        <f>49.03+130</f>
        <v>179.03</v>
      </c>
      <c r="Q6" s="174">
        <f>1748.94</f>
        <v>1748.94</v>
      </c>
      <c r="R6" s="175">
        <f>(1302.95/2)+64.9+75</f>
        <v>791.375</v>
      </c>
      <c r="S6" s="296">
        <f t="shared" si="1"/>
        <v>2938.3450000000003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s="162" customFormat="1" ht="32.25" customHeight="1">
      <c r="A7" s="11"/>
      <c r="B7" s="295">
        <v>4</v>
      </c>
      <c r="C7" s="165" t="s">
        <v>85</v>
      </c>
      <c r="D7" s="298" t="s">
        <v>96</v>
      </c>
      <c r="E7" s="166" t="s">
        <v>178</v>
      </c>
      <c r="F7" s="168" t="s">
        <v>94</v>
      </c>
      <c r="G7" s="171" t="s">
        <v>92</v>
      </c>
      <c r="H7" s="300" t="str">
        <f t="shared" si="0"/>
        <v xml:space="preserve"> REALIZAÇÃO DE PILOTO DO PROJETO DROGÔMETROS - TREINAMENTO TEÓRICO E PRÁTICO COM A PRF</v>
      </c>
      <c r="I7" s="171" t="s">
        <v>49</v>
      </c>
      <c r="J7" s="172">
        <v>44409</v>
      </c>
      <c r="K7" s="168">
        <v>2</v>
      </c>
      <c r="L7" s="173">
        <v>6</v>
      </c>
      <c r="M7" s="44">
        <v>50.84</v>
      </c>
      <c r="N7" s="44">
        <v>272.77</v>
      </c>
      <c r="O7" s="44">
        <v>0</v>
      </c>
      <c r="P7" s="331">
        <v>0</v>
      </c>
      <c r="Q7" s="174">
        <v>1748.94</v>
      </c>
      <c r="R7" s="175">
        <f>(1302.95/2)+122.1+57</f>
        <v>830.57500000000005</v>
      </c>
      <c r="S7" s="296">
        <f t="shared" si="1"/>
        <v>2903.125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s="162" customFormat="1" ht="39" customHeight="1">
      <c r="A8" s="11"/>
      <c r="B8" s="295">
        <v>5</v>
      </c>
      <c r="C8" s="165" t="s">
        <v>86</v>
      </c>
      <c r="D8" s="298" t="s">
        <v>97</v>
      </c>
      <c r="E8" s="166" t="s">
        <v>179</v>
      </c>
      <c r="F8" s="168" t="s">
        <v>94</v>
      </c>
      <c r="G8" s="171" t="s">
        <v>92</v>
      </c>
      <c r="H8" s="300" t="str">
        <f t="shared" si="0"/>
        <v xml:space="preserve"> REALIZAÇÃO DE PILOTO DO PROJETO DROGÔMETROS - TREINAMENTO TEÓRICO E PRÁTICO COM A PRF</v>
      </c>
      <c r="I8" s="171" t="s">
        <v>49</v>
      </c>
      <c r="J8" s="172">
        <v>44409</v>
      </c>
      <c r="K8" s="168">
        <v>2</v>
      </c>
      <c r="L8" s="173">
        <v>6</v>
      </c>
      <c r="M8" s="44">
        <v>0</v>
      </c>
      <c r="N8" s="44">
        <v>166.71</v>
      </c>
      <c r="O8" s="44"/>
      <c r="P8" s="331">
        <v>61.5</v>
      </c>
      <c r="Q8" s="174">
        <v>1748.94</v>
      </c>
      <c r="R8" s="175">
        <f>1302.95/2+60.72+57</f>
        <v>769.19500000000005</v>
      </c>
      <c r="S8" s="296">
        <f t="shared" si="1"/>
        <v>2746.3450000000003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162" customFormat="1" ht="34.5" customHeight="1">
      <c r="A9" s="11"/>
      <c r="B9" s="295">
        <v>6</v>
      </c>
      <c r="C9" s="165" t="s">
        <v>87</v>
      </c>
      <c r="D9" s="298" t="s">
        <v>98</v>
      </c>
      <c r="E9" s="165" t="s">
        <v>180</v>
      </c>
      <c r="F9" s="168" t="s">
        <v>94</v>
      </c>
      <c r="G9" s="171" t="s">
        <v>92</v>
      </c>
      <c r="H9" s="293" t="str">
        <f t="shared" si="0"/>
        <v xml:space="preserve"> REALIZAÇÃO DE PILOTO DO PROJETO DROGÔMETROS - TREINAMENTO TEÓRICO E PRÁTICO COM A PRF</v>
      </c>
      <c r="I9" s="171" t="s">
        <v>49</v>
      </c>
      <c r="J9" s="172">
        <v>44409</v>
      </c>
      <c r="K9" s="168">
        <v>2</v>
      </c>
      <c r="L9" s="173">
        <v>6</v>
      </c>
      <c r="M9" s="44">
        <v>0</v>
      </c>
      <c r="N9" s="44">
        <v>121.48</v>
      </c>
      <c r="O9" s="44"/>
      <c r="P9" s="331">
        <f>130+130</f>
        <v>260</v>
      </c>
      <c r="Q9" s="174">
        <v>1748.94</v>
      </c>
      <c r="R9" s="175">
        <f>(1302.95/2)+82.72+66</f>
        <v>800.19500000000005</v>
      </c>
      <c r="S9" s="296">
        <f t="shared" si="1"/>
        <v>2930.6150000000002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35.25" customHeight="1">
      <c r="A10" s="11"/>
      <c r="B10" s="195">
        <v>7</v>
      </c>
      <c r="C10" s="165" t="s">
        <v>88</v>
      </c>
      <c r="D10" s="298" t="s">
        <v>99</v>
      </c>
      <c r="E10" s="165" t="s">
        <v>181</v>
      </c>
      <c r="F10" s="168" t="s">
        <v>94</v>
      </c>
      <c r="G10" s="171" t="s">
        <v>92</v>
      </c>
      <c r="H10" s="48" t="str">
        <f t="shared" si="0"/>
        <v xml:space="preserve"> REALIZAÇÃO DE PILOTO DO PROJETO DROGÔMETROS - TREINAMENTO TEÓRICO E PRÁTICO COM A PRF</v>
      </c>
      <c r="I10" s="171" t="s">
        <v>49</v>
      </c>
      <c r="J10" s="172">
        <v>44409</v>
      </c>
      <c r="K10" s="168">
        <v>2</v>
      </c>
      <c r="L10" s="173">
        <v>6</v>
      </c>
      <c r="M10" s="52">
        <v>36.39</v>
      </c>
      <c r="N10" s="52">
        <v>141.79</v>
      </c>
      <c r="O10" s="52"/>
      <c r="P10" s="331">
        <f>130+130</f>
        <v>260</v>
      </c>
      <c r="Q10" s="174">
        <v>1748.94</v>
      </c>
      <c r="R10" s="175">
        <f>(1302.95/2)+105.82+66</f>
        <v>823.29500000000007</v>
      </c>
      <c r="S10" s="296">
        <f t="shared" si="1"/>
        <v>3010.415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36" customHeight="1" thickBot="1">
      <c r="A11" s="11"/>
      <c r="B11" s="199">
        <v>8</v>
      </c>
      <c r="C11" s="314" t="s">
        <v>89</v>
      </c>
      <c r="D11" s="315" t="s">
        <v>100</v>
      </c>
      <c r="E11" s="316" t="s">
        <v>182</v>
      </c>
      <c r="F11" s="207" t="s">
        <v>94</v>
      </c>
      <c r="G11" s="205" t="s">
        <v>92</v>
      </c>
      <c r="H11" s="204" t="str">
        <f t="shared" si="0"/>
        <v xml:space="preserve"> REALIZAÇÃO DE PILOTO DO PROJETO DROGÔMETROS - TREINAMENTO TEÓRICO E PRÁTICO COM A PRF</v>
      </c>
      <c r="I11" s="205" t="s">
        <v>49</v>
      </c>
      <c r="J11" s="206">
        <v>44409</v>
      </c>
      <c r="K11" s="207">
        <v>3</v>
      </c>
      <c r="L11" s="208">
        <v>6</v>
      </c>
      <c r="M11" s="210">
        <v>0</v>
      </c>
      <c r="N11" s="210">
        <v>188.79</v>
      </c>
      <c r="O11" s="210"/>
      <c r="P11" s="333">
        <v>0</v>
      </c>
      <c r="Q11" s="212">
        <f>678.79+748.27</f>
        <v>1427.06</v>
      </c>
      <c r="R11" s="175">
        <f>974.05+54</f>
        <v>1028.05</v>
      </c>
      <c r="S11" s="297">
        <f t="shared" si="1"/>
        <v>2643.8999999999996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24.75" customHeight="1" thickBot="1">
      <c r="A12" s="11"/>
      <c r="B12" s="15"/>
      <c r="C12" s="16"/>
      <c r="D12" s="17"/>
      <c r="E12" s="17"/>
      <c r="F12" s="17"/>
      <c r="G12" s="17"/>
      <c r="H12" s="17"/>
      <c r="I12" s="17"/>
      <c r="J12" s="71"/>
      <c r="K12" s="72"/>
      <c r="L12" s="72"/>
      <c r="M12" s="18"/>
      <c r="N12" s="18"/>
      <c r="O12" s="18"/>
      <c r="P12" s="12"/>
      <c r="Q12" s="19"/>
      <c r="R12" s="20"/>
      <c r="S12" s="2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15.75" customHeight="1">
      <c r="A13" s="22"/>
      <c r="B13" s="73" t="s">
        <v>14</v>
      </c>
      <c r="C13" s="22"/>
      <c r="D13" s="74" t="s">
        <v>50</v>
      </c>
      <c r="E13" s="116"/>
      <c r="F13" s="22"/>
      <c r="G13" s="22"/>
      <c r="H13" s="22"/>
      <c r="I13" s="76"/>
      <c r="J13" s="22"/>
      <c r="K13" s="15"/>
      <c r="L13" s="22"/>
      <c r="M13" s="93">
        <f t="shared" ref="M13:R13" si="2">SUM(M4:M11)</f>
        <v>129.59</v>
      </c>
      <c r="N13" s="93">
        <f t="shared" si="2"/>
        <v>1332.55</v>
      </c>
      <c r="O13" s="93">
        <f t="shared" si="2"/>
        <v>0</v>
      </c>
      <c r="P13" s="95">
        <f t="shared" si="2"/>
        <v>890.53</v>
      </c>
      <c r="Q13" s="79">
        <f t="shared" si="2"/>
        <v>13466.960000000001</v>
      </c>
      <c r="R13" s="80">
        <f t="shared" si="2"/>
        <v>6143.170000000001</v>
      </c>
      <c r="S13" s="24">
        <f>SUM(S4:S11)+P14</f>
        <v>21971.705300000001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24.75" customHeight="1">
      <c r="A14" s="25"/>
      <c r="B14" s="25"/>
      <c r="C14" s="25"/>
      <c r="D14" s="406"/>
      <c r="E14" s="402"/>
      <c r="F14" s="402"/>
      <c r="G14" s="402"/>
      <c r="H14" s="402"/>
      <c r="I14" s="402"/>
      <c r="J14" s="402"/>
      <c r="K14" s="402"/>
      <c r="L14" s="25"/>
      <c r="M14" s="26"/>
      <c r="N14" s="26"/>
      <c r="O14" s="81" t="s">
        <v>14</v>
      </c>
      <c r="P14" s="12">
        <f>P13*1%</f>
        <v>8.9053000000000004</v>
      </c>
      <c r="Q14" s="25"/>
      <c r="R14" s="25"/>
      <c r="S14" s="30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24.75" customHeight="1">
      <c r="A15" s="25"/>
      <c r="B15" s="25"/>
      <c r="C15" s="25"/>
      <c r="D15" s="25"/>
      <c r="E15" s="25"/>
      <c r="F15" s="25"/>
      <c r="G15" s="25"/>
      <c r="H15" s="25"/>
      <c r="I15" s="28"/>
      <c r="J15" s="25"/>
      <c r="K15" s="25"/>
      <c r="L15" s="25"/>
      <c r="M15" s="26"/>
      <c r="N15" s="26"/>
      <c r="O15" s="26"/>
      <c r="P15" s="82">
        <f>P13+P14</f>
        <v>899.43529999999998</v>
      </c>
      <c r="Q15" s="29"/>
      <c r="R15" s="30"/>
      <c r="S15" s="83" t="s">
        <v>51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24.75" customHeight="1">
      <c r="A16" s="25"/>
      <c r="B16" s="25"/>
      <c r="C16" s="25"/>
      <c r="D16" s="407"/>
      <c r="E16" s="402"/>
      <c r="F16" s="402"/>
      <c r="G16" s="402"/>
      <c r="H16" s="402"/>
      <c r="I16" s="402"/>
      <c r="J16" s="402"/>
      <c r="K16" s="402"/>
      <c r="L16" s="25"/>
      <c r="M16" s="26"/>
      <c r="N16" s="26"/>
      <c r="O16" s="26"/>
      <c r="P16" s="12"/>
      <c r="Q16" s="4" t="s">
        <v>26</v>
      </c>
      <c r="R16" s="84">
        <f>M13+N13+O13+P15+Q13+R13</f>
        <v>21971.705300000001</v>
      </c>
      <c r="S16" s="35">
        <f>S13-R16</f>
        <v>0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3:19" ht="24.75" customHeight="1">
      <c r="C17" s="1"/>
      <c r="D17" s="1"/>
      <c r="E17" s="1"/>
      <c r="F17" s="1"/>
      <c r="G17" s="1"/>
      <c r="H17" s="1"/>
      <c r="I17" s="2"/>
      <c r="J17" s="41"/>
      <c r="K17" s="41"/>
      <c r="L17" s="41"/>
      <c r="M17" s="3"/>
      <c r="N17" s="3"/>
      <c r="O17" s="81" t="s">
        <v>14</v>
      </c>
      <c r="P17" s="12" t="s">
        <v>52</v>
      </c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1"/>
      <c r="K18" s="41"/>
      <c r="L18" s="41"/>
      <c r="M18" s="3"/>
      <c r="N18" s="3"/>
      <c r="O18" s="3"/>
      <c r="P18" s="1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1"/>
      <c r="K19" s="41"/>
      <c r="L19" s="41"/>
      <c r="M19" s="3"/>
      <c r="N19" s="3"/>
      <c r="O19" s="3"/>
      <c r="P19" s="12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3"/>
      <c r="P20" s="1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12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12"/>
      <c r="Q24" s="4"/>
      <c r="R24" s="5"/>
      <c r="S24" s="5"/>
    </row>
    <row r="25" spans="3:19" ht="24.75" customHeight="1">
      <c r="C25" s="1"/>
      <c r="I25" s="2"/>
      <c r="J25" s="41"/>
      <c r="K25" s="41"/>
      <c r="L25" s="41"/>
      <c r="M25" s="3"/>
      <c r="N25" s="3"/>
      <c r="O25" s="3"/>
      <c r="P25" s="12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12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1"/>
      <c r="K27" s="41"/>
      <c r="L27" s="41"/>
      <c r="M27" s="3"/>
      <c r="N27" s="3"/>
      <c r="O27" s="3"/>
      <c r="P27" s="85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P28" s="25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  <c r="P29" s="25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  <c r="P30" s="25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  <c r="M90" s="3"/>
      <c r="N90" s="3"/>
      <c r="O90" s="3"/>
      <c r="Q90" s="4"/>
      <c r="R90" s="5"/>
      <c r="S90" s="5"/>
    </row>
    <row r="91" spans="3:19" ht="24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  <c r="M91" s="3"/>
      <c r="N91" s="3"/>
      <c r="O91" s="3"/>
      <c r="Q91" s="4"/>
      <c r="R91" s="5"/>
      <c r="S91" s="5"/>
    </row>
    <row r="92" spans="3:19" ht="24.75" customHeight="1">
      <c r="C92" s="1"/>
      <c r="D92" s="1"/>
      <c r="E92" s="1"/>
      <c r="F92" s="1"/>
      <c r="G92" s="1"/>
      <c r="H92" s="1"/>
      <c r="I92" s="2"/>
      <c r="J92" s="41"/>
      <c r="K92" s="41"/>
      <c r="L92" s="41"/>
      <c r="M92" s="3"/>
      <c r="N92" s="3"/>
      <c r="O92" s="3"/>
      <c r="Q92" s="4"/>
      <c r="R92" s="5"/>
      <c r="S92" s="5"/>
    </row>
    <row r="93" spans="3:19" ht="24.75" customHeight="1">
      <c r="C93" s="1"/>
      <c r="D93" s="1"/>
      <c r="E93" s="1"/>
      <c r="F93" s="1"/>
      <c r="G93" s="1"/>
      <c r="H93" s="1"/>
      <c r="I93" s="2"/>
      <c r="J93" s="41"/>
      <c r="K93" s="41"/>
      <c r="L93" s="41"/>
      <c r="M93" s="3"/>
      <c r="N93" s="3"/>
      <c r="O93" s="3"/>
      <c r="Q93" s="4"/>
      <c r="R93" s="5"/>
      <c r="S93" s="5"/>
    </row>
    <row r="94" spans="3:19" ht="24.75" customHeight="1">
      <c r="C94" s="1"/>
      <c r="D94" s="1"/>
      <c r="E94" s="1"/>
      <c r="F94" s="1"/>
      <c r="G94" s="1"/>
      <c r="H94" s="1"/>
      <c r="I94" s="2"/>
      <c r="J94" s="41"/>
      <c r="K94" s="41"/>
      <c r="L94" s="41"/>
      <c r="M94" s="3"/>
      <c r="N94" s="3"/>
      <c r="O94" s="3"/>
      <c r="Q94" s="4"/>
      <c r="R94" s="5"/>
      <c r="S94" s="5"/>
    </row>
    <row r="95" spans="3:19" ht="24.75" customHeight="1">
      <c r="C95" s="1"/>
      <c r="D95" s="1"/>
      <c r="E95" s="1"/>
      <c r="F95" s="1"/>
      <c r="G95" s="1"/>
      <c r="H95" s="1"/>
      <c r="I95" s="2"/>
      <c r="J95" s="41"/>
      <c r="K95" s="41"/>
      <c r="L95" s="41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1"/>
      <c r="K96" s="41"/>
      <c r="L96" s="41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1"/>
      <c r="K97" s="41"/>
      <c r="L97" s="41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</sheetData>
  <sheetProtection password="CC27" sheet="1" objects="1" scenarios="1"/>
  <mergeCells count="6">
    <mergeCell ref="D16:K16"/>
    <mergeCell ref="B1:S1"/>
    <mergeCell ref="M2:O2"/>
    <mergeCell ref="Q2:S2"/>
    <mergeCell ref="J3:L3"/>
    <mergeCell ref="D14:K14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2"/>
  <sheetViews>
    <sheetView topLeftCell="A4" workbookViewId="0">
      <selection activeCell="E5" sqref="E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28.125" customWidth="1"/>
    <col min="5" max="5" width="22.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1"/>
      <c r="K1" s="41"/>
      <c r="L1" s="41"/>
      <c r="M1" s="3"/>
      <c r="N1" s="3"/>
      <c r="O1" s="3"/>
      <c r="Q1" s="4"/>
      <c r="R1" s="5"/>
      <c r="S1" s="5"/>
    </row>
    <row r="2" spans="1:37" ht="24.75" customHeight="1" thickBot="1">
      <c r="A2" s="42"/>
      <c r="B2" s="408" t="s">
        <v>63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2"/>
      <c r="B3" s="215"/>
      <c r="C3" s="215"/>
      <c r="D3" s="215"/>
      <c r="E3" s="215"/>
      <c r="F3" s="318"/>
      <c r="G3" s="215"/>
      <c r="H3" s="215"/>
      <c r="I3" s="215"/>
      <c r="J3" s="215"/>
      <c r="K3" s="215"/>
      <c r="L3" s="117"/>
      <c r="M3" s="416" t="s">
        <v>0</v>
      </c>
      <c r="N3" s="413"/>
      <c r="O3" s="414"/>
      <c r="P3" s="217" t="s">
        <v>33</v>
      </c>
      <c r="Q3" s="417" t="s">
        <v>34</v>
      </c>
      <c r="R3" s="413"/>
      <c r="S3" s="41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319" t="s">
        <v>35</v>
      </c>
      <c r="C4" s="302" t="s">
        <v>36</v>
      </c>
      <c r="D4" s="304" t="s">
        <v>37</v>
      </c>
      <c r="E4" s="308" t="s">
        <v>38</v>
      </c>
      <c r="F4" s="304" t="s">
        <v>39</v>
      </c>
      <c r="G4" s="305" t="s">
        <v>40</v>
      </c>
      <c r="H4" s="304" t="s">
        <v>41</v>
      </c>
      <c r="I4" s="304" t="s">
        <v>42</v>
      </c>
      <c r="J4" s="421" t="s">
        <v>43</v>
      </c>
      <c r="K4" s="422"/>
      <c r="L4" s="423"/>
      <c r="M4" s="306" t="s">
        <v>4</v>
      </c>
      <c r="N4" s="307" t="s">
        <v>5</v>
      </c>
      <c r="O4" s="308" t="s">
        <v>6</v>
      </c>
      <c r="P4" s="308" t="s">
        <v>4</v>
      </c>
      <c r="Q4" s="309" t="s">
        <v>8</v>
      </c>
      <c r="R4" s="310" t="s">
        <v>9</v>
      </c>
      <c r="S4" s="311" t="s">
        <v>45</v>
      </c>
    </row>
    <row r="5" spans="1:37" ht="34.5" customHeight="1">
      <c r="A5" s="11"/>
      <c r="B5" s="179">
        <v>1</v>
      </c>
      <c r="C5" s="180" t="s">
        <v>101</v>
      </c>
      <c r="D5" s="312" t="s">
        <v>95</v>
      </c>
      <c r="E5" s="313" t="s">
        <v>177</v>
      </c>
      <c r="F5" s="186" t="s">
        <v>111</v>
      </c>
      <c r="G5" s="186" t="s">
        <v>92</v>
      </c>
      <c r="H5" s="299" t="str">
        <f t="shared" ref="H5:H15" si="0">UPPER(G5)</f>
        <v xml:space="preserve"> REALIZAÇÃO DE PILOTO DO PROJETO DROGÔMETROS - TREINAMENTO TEÓRICO E PRÁTICO COM A PRF</v>
      </c>
      <c r="I5" s="186" t="s">
        <v>115</v>
      </c>
      <c r="J5" s="187">
        <v>44409</v>
      </c>
      <c r="K5" s="181">
        <v>15</v>
      </c>
      <c r="L5" s="188">
        <v>18</v>
      </c>
      <c r="M5" s="190">
        <v>0</v>
      </c>
      <c r="N5" s="190">
        <v>300.88</v>
      </c>
      <c r="O5" s="190">
        <v>0</v>
      </c>
      <c r="P5" s="332">
        <f>80+22.2+22.6+80+78</f>
        <v>282.8</v>
      </c>
      <c r="Q5" s="192">
        <v>923.75</v>
      </c>
      <c r="R5" s="175">
        <f>961.8+151</f>
        <v>1112.8</v>
      </c>
      <c r="S5" s="294">
        <f t="shared" ref="S5:S15" si="1">M5+N5+O5+P5+Q5+R5</f>
        <v>2620.23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62" customFormat="1" ht="36" customHeight="1">
      <c r="A6" s="11"/>
      <c r="B6" s="295">
        <v>2</v>
      </c>
      <c r="C6" s="165" t="s">
        <v>123</v>
      </c>
      <c r="D6" s="298" t="s">
        <v>95</v>
      </c>
      <c r="E6" s="166" t="s">
        <v>177</v>
      </c>
      <c r="F6" s="171" t="s">
        <v>111</v>
      </c>
      <c r="G6" s="171" t="s">
        <v>92</v>
      </c>
      <c r="H6" s="300" t="str">
        <f t="shared" si="0"/>
        <v xml:space="preserve"> REALIZAÇÃO DE PILOTO DO PROJETO DROGÔMETROS - TREINAMENTO TEÓRICO E PRÁTICO COM A PRF</v>
      </c>
      <c r="I6" s="171" t="s">
        <v>116</v>
      </c>
      <c r="J6" s="172">
        <v>44409</v>
      </c>
      <c r="K6" s="168">
        <v>22</v>
      </c>
      <c r="L6" s="173">
        <v>26</v>
      </c>
      <c r="M6" s="44">
        <v>0</v>
      </c>
      <c r="N6" s="44">
        <v>308.45</v>
      </c>
      <c r="O6" s="44">
        <v>0</v>
      </c>
      <c r="P6" s="331">
        <f>78+78+25+25</f>
        <v>206</v>
      </c>
      <c r="Q6" s="174">
        <v>1714.22</v>
      </c>
      <c r="R6" s="175">
        <f>880+170</f>
        <v>1050</v>
      </c>
      <c r="S6" s="296">
        <f t="shared" si="1"/>
        <v>3278.67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s="162" customFormat="1" ht="35.25" customHeight="1">
      <c r="A7" s="11"/>
      <c r="B7" s="295">
        <v>3</v>
      </c>
      <c r="C7" s="166" t="s">
        <v>102</v>
      </c>
      <c r="D7" s="298" t="s">
        <v>97</v>
      </c>
      <c r="E7" s="166" t="s">
        <v>179</v>
      </c>
      <c r="F7" s="171" t="s">
        <v>111</v>
      </c>
      <c r="G7" s="171" t="s">
        <v>92</v>
      </c>
      <c r="H7" s="300" t="str">
        <f t="shared" si="0"/>
        <v xml:space="preserve"> REALIZAÇÃO DE PILOTO DO PROJETO DROGÔMETROS - TREINAMENTO TEÓRICO E PRÁTICO COM A PRF</v>
      </c>
      <c r="I7" s="171" t="s">
        <v>117</v>
      </c>
      <c r="J7" s="172">
        <v>44409</v>
      </c>
      <c r="K7" s="168">
        <v>15</v>
      </c>
      <c r="L7" s="173">
        <v>18</v>
      </c>
      <c r="M7" s="44">
        <v>70.88</v>
      </c>
      <c r="N7" s="44">
        <v>170.7</v>
      </c>
      <c r="O7" s="44">
        <v>0</v>
      </c>
      <c r="P7" s="331">
        <v>0</v>
      </c>
      <c r="Q7" s="174">
        <f>1428.89+469.96</f>
        <v>1898.8500000000001</v>
      </c>
      <c r="R7" s="383">
        <v>694.1</v>
      </c>
      <c r="S7" s="296">
        <f t="shared" si="1"/>
        <v>2834.53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s="162" customFormat="1" ht="36.75" customHeight="1">
      <c r="A8" s="11"/>
      <c r="B8" s="295">
        <v>4</v>
      </c>
      <c r="C8" s="165" t="s">
        <v>103</v>
      </c>
      <c r="D8" s="298" t="s">
        <v>97</v>
      </c>
      <c r="E8" s="166" t="s">
        <v>179</v>
      </c>
      <c r="F8" s="171" t="s">
        <v>111</v>
      </c>
      <c r="G8" s="171" t="s">
        <v>92</v>
      </c>
      <c r="H8" s="300" t="str">
        <f t="shared" si="0"/>
        <v xml:space="preserve"> REALIZAÇÃO DE PILOTO DO PROJETO DROGÔMETROS - TREINAMENTO TEÓRICO E PRÁTICO COM A PRF</v>
      </c>
      <c r="I8" s="171" t="s">
        <v>53</v>
      </c>
      <c r="J8" s="172">
        <v>44409</v>
      </c>
      <c r="K8" s="168">
        <v>22</v>
      </c>
      <c r="L8" s="173">
        <v>26</v>
      </c>
      <c r="M8" s="44">
        <v>0</v>
      </c>
      <c r="N8" s="44">
        <v>212.31</v>
      </c>
      <c r="O8" s="44">
        <v>0</v>
      </c>
      <c r="P8" s="331">
        <f>25+76.2+74.2+61</f>
        <v>236.4</v>
      </c>
      <c r="Q8" s="174">
        <v>1037.19</v>
      </c>
      <c r="R8" s="175">
        <f>1165.48+135.3</f>
        <v>1300.78</v>
      </c>
      <c r="S8" s="296">
        <f t="shared" si="1"/>
        <v>2786.6800000000003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162" customFormat="1" ht="40.5" customHeight="1">
      <c r="A9" s="11"/>
      <c r="B9" s="295">
        <v>5</v>
      </c>
      <c r="C9" s="166" t="s">
        <v>104</v>
      </c>
      <c r="D9" s="298" t="s">
        <v>96</v>
      </c>
      <c r="E9" s="165" t="s">
        <v>181</v>
      </c>
      <c r="F9" s="171" t="s">
        <v>111</v>
      </c>
      <c r="G9" s="171" t="s">
        <v>92</v>
      </c>
      <c r="H9" s="300" t="str">
        <f t="shared" si="0"/>
        <v xml:space="preserve"> REALIZAÇÃO DE PILOTO DO PROJETO DROGÔMETROS - TREINAMENTO TEÓRICO E PRÁTICO COM A PRF</v>
      </c>
      <c r="I9" s="171" t="s">
        <v>118</v>
      </c>
      <c r="J9" s="172">
        <v>44409</v>
      </c>
      <c r="K9" s="168">
        <v>15</v>
      </c>
      <c r="L9" s="173">
        <v>18</v>
      </c>
      <c r="M9" s="44">
        <v>0</v>
      </c>
      <c r="N9" s="44">
        <v>200.03</v>
      </c>
      <c r="O9" s="44">
        <v>0</v>
      </c>
      <c r="P9" s="331">
        <v>52</v>
      </c>
      <c r="Q9" s="174">
        <f>383.79+599.26</f>
        <v>983.05</v>
      </c>
      <c r="R9" s="175">
        <f>537.66+25</f>
        <v>562.66</v>
      </c>
      <c r="S9" s="296">
        <f t="shared" si="1"/>
        <v>1797.7399999999998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162" customFormat="1" ht="34.5" customHeight="1">
      <c r="A10" s="11"/>
      <c r="B10" s="295">
        <v>6</v>
      </c>
      <c r="C10" s="166" t="s">
        <v>105</v>
      </c>
      <c r="D10" s="298" t="s">
        <v>96</v>
      </c>
      <c r="E10" s="165" t="s">
        <v>181</v>
      </c>
      <c r="F10" s="171" t="s">
        <v>111</v>
      </c>
      <c r="G10" s="171" t="s">
        <v>92</v>
      </c>
      <c r="H10" s="300" t="str">
        <f t="shared" si="0"/>
        <v xml:space="preserve"> REALIZAÇÃO DE PILOTO DO PROJETO DROGÔMETROS - TREINAMENTO TEÓRICO E PRÁTICO COM A PRF</v>
      </c>
      <c r="I10" s="171" t="s">
        <v>119</v>
      </c>
      <c r="J10" s="172">
        <v>44409</v>
      </c>
      <c r="K10" s="168">
        <v>22</v>
      </c>
      <c r="L10" s="173">
        <v>25</v>
      </c>
      <c r="M10" s="44">
        <v>0</v>
      </c>
      <c r="N10" s="44">
        <v>259.36</v>
      </c>
      <c r="O10" s="44">
        <v>0</v>
      </c>
      <c r="P10" s="331">
        <f>60+60+60+60+60+157+60+157</f>
        <v>674</v>
      </c>
      <c r="Q10" s="174">
        <f>954.89+878.9</f>
        <v>1833.79</v>
      </c>
      <c r="R10" s="175">
        <f>675+16</f>
        <v>691</v>
      </c>
      <c r="S10" s="296">
        <f t="shared" si="1"/>
        <v>3458.15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162" customFormat="1" ht="37.5" customHeight="1">
      <c r="A11" s="11"/>
      <c r="B11" s="295">
        <v>7</v>
      </c>
      <c r="C11" s="166" t="s">
        <v>106</v>
      </c>
      <c r="D11" s="298" t="s">
        <v>98</v>
      </c>
      <c r="E11" s="165" t="s">
        <v>180</v>
      </c>
      <c r="F11" s="171" t="s">
        <v>111</v>
      </c>
      <c r="G11" s="171" t="s">
        <v>92</v>
      </c>
      <c r="H11" s="300" t="str">
        <f t="shared" si="0"/>
        <v xml:space="preserve"> REALIZAÇÃO DE PILOTO DO PROJETO DROGÔMETROS - TREINAMENTO TEÓRICO E PRÁTICO COM A PRF</v>
      </c>
      <c r="I11" s="171" t="s">
        <v>120</v>
      </c>
      <c r="J11" s="172">
        <v>44409</v>
      </c>
      <c r="K11" s="168">
        <v>22</v>
      </c>
      <c r="L11" s="173">
        <v>26</v>
      </c>
      <c r="M11" s="44">
        <v>49.98</v>
      </c>
      <c r="N11" s="44">
        <v>269.87</v>
      </c>
      <c r="O11" s="44">
        <v>0</v>
      </c>
      <c r="P11" s="331">
        <v>0</v>
      </c>
      <c r="Q11" s="174">
        <f>1045.89+798.32</f>
        <v>1844.21</v>
      </c>
      <c r="R11" s="175">
        <f>1155+54.95</f>
        <v>1209.95</v>
      </c>
      <c r="S11" s="296">
        <f t="shared" si="1"/>
        <v>3374.01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162" customFormat="1" ht="33" customHeight="1">
      <c r="A12" s="11"/>
      <c r="B12" s="295">
        <v>8</v>
      </c>
      <c r="C12" s="166" t="s">
        <v>107</v>
      </c>
      <c r="D12" s="298" t="s">
        <v>98</v>
      </c>
      <c r="E12" s="165" t="s">
        <v>180</v>
      </c>
      <c r="F12" s="171" t="s">
        <v>111</v>
      </c>
      <c r="G12" s="171" t="s">
        <v>92</v>
      </c>
      <c r="H12" s="300" t="str">
        <f t="shared" si="0"/>
        <v xml:space="preserve"> REALIZAÇÃO DE PILOTO DO PROJETO DROGÔMETROS - TREINAMENTO TEÓRICO E PRÁTICO COM A PRF</v>
      </c>
      <c r="I12" s="171" t="s">
        <v>121</v>
      </c>
      <c r="J12" s="172">
        <v>44410</v>
      </c>
      <c r="K12" s="168">
        <v>16</v>
      </c>
      <c r="L12" s="173">
        <v>18</v>
      </c>
      <c r="M12" s="44">
        <v>0</v>
      </c>
      <c r="N12" s="44">
        <v>105</v>
      </c>
      <c r="O12" s="44">
        <v>0</v>
      </c>
      <c r="P12" s="331">
        <f>430+74.1</f>
        <v>504.1</v>
      </c>
      <c r="Q12" s="174">
        <v>0</v>
      </c>
      <c r="R12" s="175">
        <f>352+6</f>
        <v>358</v>
      </c>
      <c r="S12" s="296">
        <f t="shared" si="1"/>
        <v>967.1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s="162" customFormat="1" ht="38.25" customHeight="1">
      <c r="A13" s="11"/>
      <c r="B13" s="295">
        <v>9</v>
      </c>
      <c r="C13" s="166" t="s">
        <v>108</v>
      </c>
      <c r="D13" s="298" t="s">
        <v>99</v>
      </c>
      <c r="E13" s="165" t="s">
        <v>181</v>
      </c>
      <c r="F13" s="171" t="s">
        <v>111</v>
      </c>
      <c r="G13" s="171" t="s">
        <v>92</v>
      </c>
      <c r="H13" s="300" t="str">
        <f t="shared" si="0"/>
        <v xml:space="preserve"> REALIZAÇÃO DE PILOTO DO PROJETO DROGÔMETROS - TREINAMENTO TEÓRICO E PRÁTICO COM A PRF</v>
      </c>
      <c r="I13" s="171" t="s">
        <v>49</v>
      </c>
      <c r="J13" s="172">
        <v>44409</v>
      </c>
      <c r="K13" s="168">
        <v>15</v>
      </c>
      <c r="L13" s="173">
        <v>19</v>
      </c>
      <c r="M13" s="44">
        <v>0</v>
      </c>
      <c r="N13" s="44">
        <v>118.14</v>
      </c>
      <c r="O13" s="44">
        <v>0</v>
      </c>
      <c r="P13" s="331">
        <f>115.13+50+113.1+50</f>
        <v>328.23</v>
      </c>
      <c r="Q13" s="174">
        <f>1367.79+743.57</f>
        <v>2111.36</v>
      </c>
      <c r="R13" s="383">
        <f>1072.95+148.5</f>
        <v>1221.45</v>
      </c>
      <c r="S13" s="296">
        <f t="shared" si="1"/>
        <v>3779.1800000000003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s="162" customFormat="1" ht="38.25" customHeight="1">
      <c r="A14" s="11"/>
      <c r="B14" s="295"/>
      <c r="C14" s="165" t="s">
        <v>109</v>
      </c>
      <c r="D14" s="298" t="s">
        <v>99</v>
      </c>
      <c r="E14" s="165" t="s">
        <v>181</v>
      </c>
      <c r="F14" s="171" t="s">
        <v>111</v>
      </c>
      <c r="G14" s="171" t="s">
        <v>92</v>
      </c>
      <c r="H14" s="300" t="str">
        <f t="shared" si="0"/>
        <v xml:space="preserve"> REALIZAÇÃO DE PILOTO DO PROJETO DROGÔMETROS - TREINAMENTO TEÓRICO E PRÁTICO COM A PRF</v>
      </c>
      <c r="I14" s="171" t="s">
        <v>47</v>
      </c>
      <c r="J14" s="172">
        <v>44409</v>
      </c>
      <c r="K14" s="168">
        <v>22</v>
      </c>
      <c r="L14" s="173">
        <v>25</v>
      </c>
      <c r="M14" s="44">
        <v>0</v>
      </c>
      <c r="N14" s="44">
        <v>211.92</v>
      </c>
      <c r="O14" s="44">
        <v>0</v>
      </c>
      <c r="P14" s="331">
        <f>113.1+26+19.3+80+70+26.5+21.756</f>
        <v>356.65599999999995</v>
      </c>
      <c r="Q14" s="174">
        <f>582.79+567.96</f>
        <v>1150.75</v>
      </c>
      <c r="R14" s="175">
        <f>951+49</f>
        <v>1000</v>
      </c>
      <c r="S14" s="296">
        <f t="shared" si="1"/>
        <v>2719.326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49.5" customHeight="1" thickBot="1">
      <c r="A15" s="11"/>
      <c r="B15" s="199">
        <v>10</v>
      </c>
      <c r="C15" s="314" t="s">
        <v>110</v>
      </c>
      <c r="D15" s="315" t="s">
        <v>112</v>
      </c>
      <c r="E15" s="200" t="s">
        <v>183</v>
      </c>
      <c r="F15" s="205" t="s">
        <v>113</v>
      </c>
      <c r="G15" s="205" t="s">
        <v>114</v>
      </c>
      <c r="H15" s="324" t="str">
        <f t="shared" si="0"/>
        <v>PARTICIPAÇÃO NO II WORKSHOP DO PROJETO APOIO À RETOMADA DOS HOSPITAIS PÓS-COVID-19 (REAB PÓS-COVID-19) – PROADI-SUS A CONVITE DO HOSPITAL SÍRIO-LIBANÊS</v>
      </c>
      <c r="I15" s="205" t="s">
        <v>122</v>
      </c>
      <c r="J15" s="206">
        <v>44409</v>
      </c>
      <c r="K15" s="207">
        <v>23</v>
      </c>
      <c r="L15" s="208">
        <v>23</v>
      </c>
      <c r="M15" s="210">
        <v>0</v>
      </c>
      <c r="N15" s="210">
        <v>0</v>
      </c>
      <c r="O15" s="210">
        <v>0</v>
      </c>
      <c r="P15" s="333">
        <v>0</v>
      </c>
      <c r="Q15" s="240">
        <v>0</v>
      </c>
      <c r="R15" s="175">
        <v>0</v>
      </c>
      <c r="S15" s="297">
        <f t="shared" si="1"/>
        <v>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24.75" customHeight="1">
      <c r="A16" s="22"/>
      <c r="B16" s="22"/>
      <c r="C16" s="22"/>
      <c r="D16" s="22"/>
      <c r="E16" s="22"/>
      <c r="F16" s="22"/>
      <c r="G16" s="22"/>
      <c r="H16" s="22"/>
      <c r="I16" s="320"/>
      <c r="J16" s="321"/>
      <c r="K16" s="322"/>
      <c r="L16" s="323"/>
      <c r="M16" s="93">
        <f t="shared" ref="M16:R16" si="2">SUM(M5:M15)</f>
        <v>120.85999999999999</v>
      </c>
      <c r="N16" s="93">
        <f t="shared" si="2"/>
        <v>2156.66</v>
      </c>
      <c r="O16" s="93">
        <f t="shared" si="2"/>
        <v>0</v>
      </c>
      <c r="P16" s="98">
        <f t="shared" si="2"/>
        <v>2640.1860000000001</v>
      </c>
      <c r="Q16" s="118">
        <f t="shared" si="2"/>
        <v>13497.170000000002</v>
      </c>
      <c r="R16" s="119">
        <f t="shared" si="2"/>
        <v>9200.74</v>
      </c>
      <c r="S16" s="120">
        <f>SUM(S5:S15)+P17</f>
        <v>27642.017860000004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ht="19.5" customHeight="1" thickBot="1">
      <c r="A17" s="25"/>
      <c r="B17" s="25"/>
      <c r="C17" s="25"/>
      <c r="D17" s="406"/>
      <c r="E17" s="402"/>
      <c r="F17" s="402"/>
      <c r="G17" s="402"/>
      <c r="H17" s="402"/>
      <c r="I17" s="402"/>
      <c r="J17" s="402"/>
      <c r="K17" s="402"/>
      <c r="L17" s="25"/>
      <c r="M17" s="26"/>
      <c r="N17" s="26"/>
      <c r="O17" s="81" t="s">
        <v>14</v>
      </c>
      <c r="P17" s="12">
        <f>P16*1%</f>
        <v>26.401860000000003</v>
      </c>
      <c r="Q17" s="25"/>
      <c r="R17" s="25"/>
      <c r="S17" s="30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ht="24.75" customHeight="1" thickBot="1">
      <c r="A18" s="25"/>
      <c r="B18" s="73" t="s">
        <v>14</v>
      </c>
      <c r="C18" s="22"/>
      <c r="D18" s="74" t="s">
        <v>50</v>
      </c>
      <c r="E18" s="75"/>
      <c r="F18" s="375"/>
      <c r="G18" s="75"/>
      <c r="H18" s="75"/>
      <c r="I18" s="28"/>
      <c r="J18" s="25"/>
      <c r="K18" s="25"/>
      <c r="L18" s="25"/>
      <c r="M18" s="26"/>
      <c r="N18" s="26"/>
      <c r="O18" s="26"/>
      <c r="P18" s="82">
        <f>P16+P17</f>
        <v>2666.5878600000001</v>
      </c>
      <c r="Q18" s="29"/>
      <c r="R18" s="30"/>
      <c r="S18" s="83" t="s">
        <v>51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ht="24.75" customHeight="1">
      <c r="A19" s="25"/>
      <c r="B19" s="25"/>
      <c r="C19" s="25"/>
      <c r="D19" s="407"/>
      <c r="E19" s="402"/>
      <c r="F19" s="402"/>
      <c r="G19" s="402"/>
      <c r="H19" s="402"/>
      <c r="I19" s="402"/>
      <c r="J19" s="402"/>
      <c r="K19" s="402"/>
      <c r="L19" s="25"/>
      <c r="M19" s="26"/>
      <c r="N19" s="26"/>
      <c r="O19" s="26"/>
      <c r="P19" s="12"/>
      <c r="Q19" s="4" t="s">
        <v>26</v>
      </c>
      <c r="R19" s="84">
        <f>M16+N16+O16+P18+Q16+R16</f>
        <v>27642.01786</v>
      </c>
      <c r="S19" s="35">
        <f>S16-R19</f>
        <v>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ht="24.75" customHeight="1">
      <c r="C20" s="1"/>
      <c r="D20" s="1"/>
      <c r="E20" s="1"/>
      <c r="F20" s="1"/>
      <c r="G20" s="1"/>
      <c r="H20" s="1"/>
      <c r="I20" s="2"/>
      <c r="J20" s="41"/>
      <c r="K20" s="41"/>
      <c r="L20" s="41"/>
      <c r="M20" s="3"/>
      <c r="N20" s="3"/>
      <c r="O20" s="81" t="s">
        <v>14</v>
      </c>
      <c r="P20" s="12" t="s">
        <v>52</v>
      </c>
      <c r="Q20" s="4"/>
      <c r="R20" s="5"/>
      <c r="S20" s="5"/>
    </row>
    <row r="21" spans="1:37" ht="24.75" customHeight="1">
      <c r="C21" s="1"/>
      <c r="D21" s="1"/>
      <c r="E21" s="1"/>
      <c r="F21" s="1"/>
      <c r="G21" s="1"/>
      <c r="H21" s="1"/>
      <c r="I21" s="2"/>
      <c r="J21" s="41"/>
      <c r="K21" s="41"/>
      <c r="L21" s="41"/>
      <c r="M21" s="3"/>
      <c r="N21" s="3"/>
      <c r="O21" s="3"/>
      <c r="P21" s="12"/>
      <c r="Q21" s="4"/>
      <c r="R21" s="5"/>
      <c r="S21" s="5"/>
    </row>
    <row r="22" spans="1:37" ht="24.75" customHeight="1">
      <c r="C22" s="1"/>
      <c r="D22" s="1"/>
      <c r="E22" s="1"/>
      <c r="F22" s="1"/>
      <c r="G22" s="1"/>
      <c r="H22" s="1"/>
      <c r="I22" s="2"/>
      <c r="J22" s="41"/>
      <c r="K22" s="41"/>
      <c r="L22" s="41"/>
      <c r="M22" s="3"/>
      <c r="N22" s="3"/>
      <c r="O22" s="3"/>
      <c r="P22" s="12"/>
      <c r="Q22" s="4"/>
      <c r="R22" s="5"/>
      <c r="S22" s="5"/>
    </row>
    <row r="23" spans="1:37" ht="24.75" customHeight="1">
      <c r="C23" s="1"/>
      <c r="D23" s="1"/>
      <c r="E23" s="1"/>
      <c r="F23" s="1"/>
      <c r="G23" s="1"/>
      <c r="H23" s="1"/>
      <c r="I23" s="2"/>
      <c r="J23" s="41"/>
      <c r="K23" s="41"/>
      <c r="L23" s="41"/>
      <c r="M23" s="3"/>
      <c r="N23" s="3"/>
      <c r="O23" s="3"/>
      <c r="P23" s="12"/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1"/>
      <c r="K24" s="41"/>
      <c r="L24" s="41"/>
      <c r="M24" s="3"/>
      <c r="N24" s="3"/>
      <c r="O24" s="3"/>
      <c r="P24" s="12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1"/>
      <c r="K25" s="41"/>
      <c r="L25" s="41"/>
      <c r="M25" s="3"/>
      <c r="N25" s="3"/>
      <c r="O25" s="3"/>
      <c r="P25" s="12"/>
      <c r="Q25" s="4"/>
      <c r="R25" s="5"/>
      <c r="S25" s="5"/>
    </row>
    <row r="26" spans="1:37" ht="24.75" customHeight="1">
      <c r="C26" s="1"/>
      <c r="D26" s="1"/>
      <c r="E26" s="1"/>
      <c r="F26" s="1"/>
      <c r="G26" s="1"/>
      <c r="H26" s="1"/>
      <c r="I26" s="2"/>
      <c r="J26" s="41"/>
      <c r="K26" s="41"/>
      <c r="L26" s="41"/>
      <c r="M26" s="3"/>
      <c r="N26" s="3"/>
      <c r="O26" s="3"/>
      <c r="P26" s="12"/>
      <c r="Q26" s="4"/>
      <c r="R26" s="5"/>
      <c r="S26" s="5"/>
    </row>
    <row r="27" spans="1:37" ht="24.75" customHeight="1">
      <c r="C27" s="1"/>
      <c r="I27" s="2"/>
      <c r="J27" s="41"/>
      <c r="K27" s="41"/>
      <c r="L27" s="41"/>
      <c r="M27" s="3"/>
      <c r="N27" s="3"/>
      <c r="O27" s="3"/>
      <c r="P27" s="12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1"/>
      <c r="K28" s="41"/>
      <c r="L28" s="41"/>
      <c r="M28" s="3"/>
      <c r="N28" s="3"/>
      <c r="O28" s="3"/>
      <c r="P28" s="12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1"/>
      <c r="K29" s="41"/>
      <c r="L29" s="41"/>
      <c r="M29" s="3"/>
      <c r="N29" s="3"/>
      <c r="O29" s="3"/>
      <c r="P29" s="85"/>
      <c r="Q29" s="4"/>
      <c r="R29" s="5"/>
      <c r="S29" s="5"/>
    </row>
    <row r="30" spans="1:37" ht="24.75" customHeight="1">
      <c r="C30" s="1"/>
      <c r="D30" s="1"/>
      <c r="E30" s="1"/>
      <c r="F30" s="1"/>
      <c r="G30" s="1"/>
      <c r="H30" s="1"/>
      <c r="I30" s="2"/>
      <c r="J30" s="41"/>
      <c r="K30" s="41"/>
      <c r="L30" s="41"/>
      <c r="M30" s="3"/>
      <c r="N30" s="3"/>
      <c r="O30" s="3"/>
      <c r="P30" s="25"/>
    </row>
    <row r="31" spans="1:37" ht="24.75" customHeight="1">
      <c r="C31" s="1"/>
      <c r="D31" s="1"/>
      <c r="E31" s="1"/>
      <c r="F31" s="1"/>
      <c r="G31" s="1"/>
      <c r="H31" s="1"/>
      <c r="I31" s="2"/>
      <c r="J31" s="41"/>
      <c r="K31" s="41"/>
      <c r="L31" s="41"/>
      <c r="M31" s="3"/>
      <c r="N31" s="3"/>
      <c r="O31" s="3"/>
      <c r="P31" s="25"/>
    </row>
    <row r="32" spans="1:37" ht="24.75" customHeight="1">
      <c r="C32" s="1"/>
      <c r="D32" s="1"/>
      <c r="E32" s="1"/>
      <c r="F32" s="1"/>
      <c r="G32" s="1"/>
      <c r="H32" s="1"/>
      <c r="I32" s="2"/>
      <c r="J32" s="41"/>
      <c r="K32" s="41"/>
      <c r="L32" s="41"/>
      <c r="M32" s="3"/>
      <c r="N32" s="3"/>
      <c r="O32" s="3"/>
      <c r="P32" s="25"/>
    </row>
    <row r="33" spans="3:15" ht="24.75" customHeight="1">
      <c r="C33" s="1"/>
      <c r="D33" s="1"/>
      <c r="E33" s="1"/>
      <c r="F33" s="1"/>
      <c r="G33" s="1"/>
      <c r="H33" s="1"/>
      <c r="I33" s="2"/>
      <c r="J33" s="41"/>
      <c r="K33" s="41"/>
      <c r="L33" s="41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1"/>
      <c r="K34" s="41"/>
      <c r="L34" s="41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1"/>
      <c r="K35" s="41"/>
      <c r="L35" s="41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1"/>
      <c r="K36" s="41"/>
      <c r="L36" s="41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1"/>
      <c r="K37" s="41"/>
      <c r="L37" s="41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1"/>
      <c r="K38" s="41"/>
      <c r="L38" s="41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1"/>
      <c r="K39" s="41"/>
      <c r="L39" s="41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1"/>
      <c r="K40" s="41"/>
      <c r="L40" s="41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1"/>
      <c r="K41" s="41"/>
      <c r="L41" s="41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41"/>
      <c r="K42" s="41"/>
      <c r="L42" s="41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41"/>
      <c r="K43" s="41"/>
      <c r="L43" s="41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41"/>
      <c r="K44" s="41"/>
      <c r="L44" s="41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41"/>
      <c r="K45" s="41"/>
      <c r="L45" s="41"/>
      <c r="M45" s="3"/>
      <c r="N45" s="3"/>
      <c r="O45" s="3"/>
    </row>
    <row r="46" spans="3:15" ht="24.75" customHeight="1">
      <c r="C46" s="1"/>
      <c r="D46" s="1"/>
      <c r="E46" s="1"/>
      <c r="F46" s="1"/>
      <c r="G46" s="1"/>
      <c r="H46" s="1"/>
      <c r="I46" s="2"/>
      <c r="J46" s="41"/>
      <c r="K46" s="41"/>
      <c r="L46" s="41"/>
    </row>
    <row r="47" spans="3:15" ht="24.75" customHeight="1">
      <c r="C47" s="1"/>
      <c r="D47" s="1"/>
      <c r="E47" s="1"/>
      <c r="F47" s="1"/>
      <c r="G47" s="1"/>
      <c r="H47" s="1"/>
      <c r="I47" s="2"/>
      <c r="J47" s="41"/>
      <c r="K47" s="41"/>
      <c r="L47" s="41"/>
    </row>
    <row r="48" spans="3:15" ht="24.75" customHeight="1">
      <c r="C48" s="1"/>
      <c r="D48" s="1"/>
      <c r="E48" s="1"/>
      <c r="F48" s="1"/>
      <c r="G48" s="1"/>
      <c r="H48" s="1"/>
      <c r="I48" s="2"/>
      <c r="J48" s="41"/>
      <c r="K48" s="41"/>
      <c r="L48" s="41"/>
    </row>
    <row r="49" spans="3:12" ht="24.75" customHeight="1">
      <c r="C49" s="1"/>
      <c r="D49" s="1"/>
      <c r="E49" s="1"/>
      <c r="F49" s="1"/>
      <c r="G49" s="1"/>
      <c r="H49" s="1"/>
      <c r="I49" s="2"/>
      <c r="J49" s="41"/>
      <c r="K49" s="41"/>
      <c r="L49" s="41"/>
    </row>
    <row r="50" spans="3:12" ht="24.75" customHeight="1">
      <c r="C50" s="1"/>
      <c r="D50" s="1"/>
      <c r="E50" s="1"/>
      <c r="F50" s="1"/>
      <c r="G50" s="1"/>
      <c r="H50" s="1"/>
      <c r="I50" s="2"/>
      <c r="J50" s="41"/>
      <c r="K50" s="41"/>
      <c r="L50" s="41"/>
    </row>
    <row r="51" spans="3:12" ht="24.75" customHeight="1">
      <c r="C51" s="1"/>
      <c r="D51" s="1"/>
      <c r="E51" s="1"/>
      <c r="F51" s="1"/>
      <c r="G51" s="1"/>
      <c r="H51" s="1"/>
      <c r="I51" s="2"/>
      <c r="J51" s="41"/>
      <c r="K51" s="41"/>
      <c r="L51" s="41"/>
    </row>
    <row r="52" spans="3:12" ht="24.75" customHeight="1">
      <c r="C52" s="1"/>
      <c r="D52" s="1"/>
      <c r="E52" s="1"/>
      <c r="F52" s="1"/>
      <c r="G52" s="1"/>
      <c r="H52" s="1"/>
      <c r="I52" s="2"/>
      <c r="J52" s="41"/>
      <c r="K52" s="41"/>
      <c r="L52" s="41"/>
    </row>
    <row r="53" spans="3:12" ht="24.75" customHeight="1">
      <c r="C53" s="1"/>
      <c r="D53" s="1"/>
      <c r="E53" s="1"/>
      <c r="F53" s="1"/>
      <c r="G53" s="1"/>
      <c r="H53" s="1"/>
      <c r="I53" s="2"/>
      <c r="J53" s="41"/>
      <c r="K53" s="41"/>
      <c r="L53" s="41"/>
    </row>
    <row r="54" spans="3:12" ht="24.75" customHeight="1">
      <c r="C54" s="1"/>
      <c r="D54" s="1"/>
      <c r="E54" s="1"/>
      <c r="F54" s="1"/>
      <c r="G54" s="1"/>
      <c r="H54" s="1"/>
      <c r="I54" s="2"/>
      <c r="J54" s="41"/>
      <c r="K54" s="41"/>
      <c r="L54" s="41"/>
    </row>
    <row r="55" spans="3:12" ht="24.75" customHeight="1">
      <c r="C55" s="1"/>
      <c r="D55" s="1"/>
      <c r="E55" s="1"/>
      <c r="F55" s="1"/>
      <c r="G55" s="1"/>
      <c r="H55" s="1"/>
      <c r="I55" s="2"/>
      <c r="J55" s="41"/>
      <c r="K55" s="41"/>
      <c r="L55" s="41"/>
    </row>
    <row r="56" spans="3:12" ht="24.75" customHeight="1">
      <c r="C56" s="1"/>
      <c r="D56" s="1"/>
      <c r="E56" s="1"/>
      <c r="F56" s="1"/>
      <c r="G56" s="1"/>
      <c r="H56" s="1"/>
      <c r="I56" s="2"/>
      <c r="J56" s="41"/>
      <c r="K56" s="41"/>
      <c r="L56" s="41"/>
    </row>
    <row r="57" spans="3:12" ht="24.75" customHeight="1">
      <c r="C57" s="1"/>
      <c r="D57" s="1"/>
      <c r="E57" s="1"/>
      <c r="F57" s="1"/>
      <c r="G57" s="1"/>
      <c r="H57" s="1"/>
      <c r="I57" s="2"/>
      <c r="J57" s="41"/>
      <c r="K57" s="41"/>
      <c r="L57" s="41"/>
    </row>
    <row r="58" spans="3:12" ht="24.75" customHeight="1">
      <c r="C58" s="1"/>
      <c r="D58" s="1"/>
      <c r="E58" s="1"/>
      <c r="F58" s="1"/>
      <c r="G58" s="1"/>
      <c r="H58" s="1"/>
      <c r="I58" s="2"/>
      <c r="J58" s="41"/>
      <c r="K58" s="41"/>
      <c r="L58" s="41"/>
    </row>
    <row r="59" spans="3:12" ht="24.75" customHeight="1">
      <c r="C59" s="1"/>
      <c r="D59" s="1"/>
      <c r="E59" s="1"/>
      <c r="F59" s="1"/>
      <c r="G59" s="1"/>
      <c r="H59" s="1"/>
      <c r="I59" s="2"/>
      <c r="J59" s="41"/>
      <c r="K59" s="41"/>
      <c r="L59" s="41"/>
    </row>
    <row r="60" spans="3:12" ht="24.75" customHeight="1">
      <c r="C60" s="1"/>
      <c r="D60" s="1"/>
      <c r="E60" s="1"/>
      <c r="F60" s="1"/>
      <c r="G60" s="1"/>
      <c r="H60" s="1"/>
      <c r="I60" s="2"/>
      <c r="J60" s="41"/>
      <c r="K60" s="41"/>
      <c r="L60" s="41"/>
    </row>
    <row r="61" spans="3:12" ht="24.75" customHeight="1">
      <c r="C61" s="1"/>
      <c r="D61" s="1"/>
      <c r="E61" s="1"/>
      <c r="F61" s="1"/>
      <c r="G61" s="1"/>
      <c r="H61" s="1"/>
      <c r="I61" s="2"/>
      <c r="J61" s="41"/>
      <c r="K61" s="41"/>
      <c r="L61" s="41"/>
    </row>
    <row r="62" spans="3:12" ht="24.75" customHeight="1">
      <c r="C62" s="1"/>
      <c r="D62" s="1"/>
      <c r="E62" s="1"/>
      <c r="F62" s="1"/>
      <c r="G62" s="1"/>
      <c r="H62" s="1"/>
      <c r="I62" s="2"/>
      <c r="J62" s="41"/>
      <c r="K62" s="41"/>
      <c r="L62" s="41"/>
    </row>
    <row r="63" spans="3:12" ht="24.75" customHeight="1">
      <c r="C63" s="1"/>
      <c r="D63" s="1"/>
      <c r="E63" s="1"/>
      <c r="F63" s="1"/>
      <c r="G63" s="1"/>
      <c r="H63" s="1"/>
      <c r="I63" s="2"/>
      <c r="J63" s="41"/>
      <c r="K63" s="41"/>
      <c r="L63" s="41"/>
    </row>
    <row r="64" spans="3:12" ht="24.75" customHeight="1">
      <c r="C64" s="1"/>
      <c r="D64" s="1"/>
      <c r="E64" s="1"/>
      <c r="F64" s="1"/>
      <c r="G64" s="1"/>
      <c r="H64" s="1"/>
      <c r="I64" s="2"/>
      <c r="J64" s="41"/>
      <c r="K64" s="41"/>
      <c r="L64" s="41"/>
    </row>
    <row r="65" spans="3:12" ht="24.75" customHeight="1">
      <c r="C65" s="1"/>
      <c r="D65" s="1"/>
      <c r="E65" s="1"/>
      <c r="F65" s="1"/>
      <c r="G65" s="1"/>
      <c r="H65" s="1"/>
      <c r="I65" s="2"/>
      <c r="J65" s="41"/>
      <c r="K65" s="41"/>
      <c r="L65" s="41"/>
    </row>
    <row r="66" spans="3:12" ht="24.75" customHeight="1">
      <c r="C66" s="1"/>
      <c r="D66" s="1"/>
      <c r="E66" s="1"/>
      <c r="F66" s="1"/>
      <c r="G66" s="1"/>
      <c r="H66" s="1"/>
      <c r="I66" s="2"/>
      <c r="J66" s="41"/>
      <c r="K66" s="41"/>
      <c r="L66" s="41"/>
    </row>
    <row r="67" spans="3:12" ht="24.75" customHeight="1">
      <c r="C67" s="1"/>
      <c r="D67" s="1"/>
      <c r="E67" s="1"/>
      <c r="F67" s="1"/>
      <c r="G67" s="1"/>
      <c r="H67" s="1"/>
      <c r="I67" s="2"/>
      <c r="J67" s="41"/>
      <c r="K67" s="41"/>
      <c r="L67" s="41"/>
    </row>
    <row r="68" spans="3:12" ht="24.75" customHeight="1">
      <c r="C68" s="1"/>
      <c r="D68" s="1"/>
      <c r="E68" s="1"/>
      <c r="F68" s="1"/>
      <c r="G68" s="1"/>
      <c r="H68" s="1"/>
      <c r="I68" s="2"/>
      <c r="J68" s="41"/>
      <c r="K68" s="41"/>
      <c r="L68" s="41"/>
    </row>
    <row r="69" spans="3:12" ht="24.75" customHeight="1">
      <c r="C69" s="1"/>
      <c r="D69" s="1"/>
      <c r="E69" s="1"/>
      <c r="F69" s="1"/>
      <c r="G69" s="1"/>
      <c r="H69" s="1"/>
      <c r="I69" s="2"/>
      <c r="J69" s="41"/>
      <c r="K69" s="41"/>
      <c r="L69" s="41"/>
    </row>
    <row r="70" spans="3:12" ht="24.75" customHeight="1">
      <c r="C70" s="1"/>
      <c r="D70" s="1"/>
      <c r="E70" s="1"/>
      <c r="F70" s="1"/>
      <c r="G70" s="1"/>
      <c r="H70" s="1"/>
      <c r="I70" s="2"/>
      <c r="J70" s="41"/>
      <c r="K70" s="41"/>
      <c r="L70" s="41"/>
    </row>
    <row r="71" spans="3:12" ht="24.75" customHeight="1">
      <c r="C71" s="1"/>
      <c r="D71" s="1"/>
      <c r="E71" s="1"/>
      <c r="F71" s="1"/>
      <c r="G71" s="1"/>
      <c r="H71" s="1"/>
      <c r="I71" s="2"/>
      <c r="J71" s="41"/>
      <c r="K71" s="41"/>
      <c r="L71" s="41"/>
    </row>
    <row r="72" spans="3:12" ht="24.75" customHeight="1">
      <c r="C72" s="1"/>
      <c r="D72" s="1"/>
      <c r="E72" s="1"/>
      <c r="F72" s="1"/>
      <c r="G72" s="1"/>
      <c r="H72" s="1"/>
      <c r="I72" s="2"/>
      <c r="J72" s="41"/>
      <c r="K72" s="41"/>
      <c r="L72" s="41"/>
    </row>
    <row r="73" spans="3:12" ht="24.75" customHeight="1">
      <c r="C73" s="1"/>
      <c r="D73" s="1"/>
      <c r="E73" s="1"/>
      <c r="F73" s="1"/>
      <c r="G73" s="1"/>
      <c r="H73" s="1"/>
      <c r="I73" s="2"/>
      <c r="J73" s="41"/>
      <c r="K73" s="41"/>
      <c r="L73" s="41"/>
    </row>
    <row r="74" spans="3:12" ht="24.75" customHeight="1">
      <c r="C74" s="1"/>
      <c r="D74" s="1"/>
      <c r="E74" s="1"/>
      <c r="F74" s="1"/>
      <c r="G74" s="1"/>
      <c r="H74" s="1"/>
      <c r="I74" s="2"/>
      <c r="J74" s="41"/>
      <c r="K74" s="41"/>
      <c r="L74" s="41"/>
    </row>
    <row r="75" spans="3:12" ht="24.75" customHeight="1">
      <c r="C75" s="1"/>
      <c r="D75" s="1"/>
      <c r="E75" s="1"/>
      <c r="F75" s="1"/>
      <c r="G75" s="1"/>
      <c r="H75" s="1"/>
      <c r="I75" s="2"/>
      <c r="J75" s="41"/>
      <c r="K75" s="41"/>
      <c r="L75" s="41"/>
    </row>
    <row r="76" spans="3:12" ht="24.75" customHeight="1">
      <c r="C76" s="1"/>
      <c r="D76" s="1"/>
      <c r="E76" s="1"/>
      <c r="F76" s="1"/>
      <c r="G76" s="1"/>
      <c r="H76" s="1"/>
      <c r="I76" s="2"/>
      <c r="J76" s="41"/>
      <c r="K76" s="41"/>
      <c r="L76" s="41"/>
    </row>
    <row r="77" spans="3:12" ht="24.75" customHeight="1">
      <c r="C77" s="1"/>
      <c r="D77" s="1"/>
      <c r="E77" s="1"/>
      <c r="F77" s="1"/>
      <c r="G77" s="1"/>
      <c r="H77" s="1"/>
      <c r="I77" s="2"/>
      <c r="J77" s="41"/>
      <c r="K77" s="41"/>
      <c r="L77" s="41"/>
    </row>
    <row r="78" spans="3:12" ht="24.75" customHeight="1">
      <c r="C78" s="1"/>
      <c r="D78" s="1"/>
      <c r="E78" s="1"/>
      <c r="F78" s="1"/>
      <c r="G78" s="1"/>
      <c r="H78" s="1"/>
      <c r="I78" s="2"/>
      <c r="J78" s="41"/>
      <c r="K78" s="41"/>
      <c r="L78" s="41"/>
    </row>
    <row r="79" spans="3:12" ht="24.75" customHeight="1">
      <c r="C79" s="1"/>
      <c r="D79" s="1"/>
      <c r="E79" s="1"/>
      <c r="F79" s="1"/>
      <c r="G79" s="1"/>
      <c r="H79" s="1"/>
      <c r="I79" s="2"/>
      <c r="J79" s="41"/>
      <c r="K79" s="41"/>
      <c r="L79" s="41"/>
    </row>
    <row r="80" spans="3:12" ht="24.75" customHeight="1">
      <c r="C80" s="1"/>
      <c r="D80" s="1"/>
      <c r="E80" s="1"/>
      <c r="F80" s="1"/>
      <c r="G80" s="1"/>
      <c r="H80" s="1"/>
      <c r="I80" s="2"/>
      <c r="J80" s="41"/>
      <c r="K80" s="41"/>
      <c r="L80" s="41"/>
    </row>
    <row r="81" spans="3:12" ht="24.75" customHeight="1">
      <c r="C81" s="1"/>
      <c r="D81" s="1"/>
      <c r="E81" s="1"/>
      <c r="F81" s="1"/>
      <c r="G81" s="1"/>
      <c r="H81" s="1"/>
      <c r="I81" s="2"/>
      <c r="J81" s="41"/>
      <c r="K81" s="41"/>
      <c r="L81" s="41"/>
    </row>
    <row r="82" spans="3:12" ht="24.75" customHeight="1">
      <c r="C82" s="1"/>
      <c r="D82" s="1"/>
      <c r="E82" s="1"/>
      <c r="F82" s="1"/>
      <c r="G82" s="1"/>
      <c r="H82" s="1"/>
      <c r="I82" s="2"/>
      <c r="J82" s="41"/>
      <c r="K82" s="41"/>
      <c r="L82" s="41"/>
    </row>
    <row r="83" spans="3:12" ht="24.75" customHeight="1">
      <c r="C83" s="1"/>
      <c r="D83" s="1"/>
      <c r="E83" s="1"/>
      <c r="F83" s="1"/>
      <c r="G83" s="1"/>
      <c r="H83" s="1"/>
      <c r="I83" s="2"/>
      <c r="J83" s="41"/>
      <c r="K83" s="41"/>
      <c r="L83" s="41"/>
    </row>
    <row r="84" spans="3:12" ht="24.75" customHeight="1">
      <c r="C84" s="1"/>
      <c r="D84" s="1"/>
      <c r="E84" s="1"/>
      <c r="F84" s="1"/>
      <c r="G84" s="1"/>
      <c r="H84" s="1"/>
      <c r="I84" s="2"/>
      <c r="J84" s="41"/>
      <c r="K84" s="41"/>
      <c r="L84" s="41"/>
    </row>
    <row r="85" spans="3:12" ht="24.75" customHeight="1">
      <c r="C85" s="1"/>
      <c r="D85" s="1"/>
      <c r="E85" s="1"/>
      <c r="F85" s="1"/>
      <c r="G85" s="1"/>
      <c r="H85" s="1"/>
      <c r="I85" s="2"/>
      <c r="J85" s="41"/>
      <c r="K85" s="41"/>
      <c r="L85" s="41"/>
    </row>
    <row r="86" spans="3:12" ht="24.75" customHeight="1">
      <c r="C86" s="1"/>
      <c r="D86" s="1"/>
      <c r="E86" s="1"/>
      <c r="F86" s="1"/>
      <c r="G86" s="1"/>
      <c r="H86" s="1"/>
      <c r="I86" s="2"/>
      <c r="J86" s="41"/>
      <c r="K86" s="41"/>
      <c r="L86" s="41"/>
    </row>
    <row r="87" spans="3:12" ht="24.75" customHeight="1">
      <c r="C87" s="1"/>
      <c r="D87" s="1"/>
      <c r="E87" s="1"/>
      <c r="F87" s="1"/>
      <c r="G87" s="1"/>
      <c r="H87" s="1"/>
      <c r="I87" s="2"/>
      <c r="J87" s="41"/>
      <c r="K87" s="41"/>
      <c r="L87" s="41"/>
    </row>
    <row r="88" spans="3:12" ht="24.75" customHeight="1">
      <c r="C88" s="1"/>
      <c r="D88" s="1"/>
      <c r="E88" s="1"/>
      <c r="F88" s="1"/>
      <c r="G88" s="1"/>
      <c r="H88" s="1"/>
      <c r="I88" s="2"/>
      <c r="J88" s="41"/>
      <c r="K88" s="41"/>
      <c r="L88" s="41"/>
    </row>
    <row r="89" spans="3:12" ht="24.75" customHeight="1">
      <c r="C89" s="1"/>
      <c r="D89" s="1"/>
      <c r="E89" s="1"/>
      <c r="F89" s="1"/>
      <c r="G89" s="1"/>
      <c r="H89" s="1"/>
      <c r="I89" s="2"/>
      <c r="J89" s="41"/>
      <c r="K89" s="41"/>
      <c r="L89" s="41"/>
    </row>
    <row r="90" spans="3:12" ht="24.75" customHeight="1">
      <c r="C90" s="1"/>
      <c r="D90" s="1"/>
      <c r="E90" s="1"/>
      <c r="F90" s="1"/>
      <c r="G90" s="1"/>
      <c r="H90" s="1"/>
      <c r="I90" s="2"/>
      <c r="J90" s="41"/>
      <c r="K90" s="41"/>
      <c r="L90" s="41"/>
    </row>
    <row r="91" spans="3:12" ht="24.75" customHeight="1">
      <c r="C91" s="1"/>
      <c r="D91" s="1"/>
      <c r="E91" s="1"/>
      <c r="F91" s="1"/>
      <c r="G91" s="1"/>
      <c r="H91" s="1"/>
      <c r="I91" s="2"/>
      <c r="J91" s="41"/>
      <c r="K91" s="41"/>
      <c r="L91" s="41"/>
    </row>
    <row r="92" spans="3:12" ht="24.75" customHeight="1">
      <c r="C92" s="1"/>
      <c r="D92" s="1"/>
      <c r="E92" s="1"/>
      <c r="F92" s="1"/>
      <c r="G92" s="1"/>
      <c r="H92" s="1"/>
      <c r="I92" s="2"/>
      <c r="J92" s="41"/>
      <c r="K92" s="41"/>
      <c r="L92" s="41"/>
    </row>
    <row r="93" spans="3:12" ht="24.75" customHeight="1">
      <c r="C93" s="1"/>
      <c r="D93" s="1"/>
      <c r="E93" s="1"/>
      <c r="F93" s="1"/>
      <c r="G93" s="1"/>
      <c r="H93" s="1"/>
      <c r="I93" s="2"/>
      <c r="J93" s="41"/>
      <c r="K93" s="41"/>
      <c r="L93" s="41"/>
    </row>
    <row r="94" spans="3:12" ht="24.75" customHeight="1">
      <c r="C94" s="1"/>
      <c r="D94" s="1"/>
      <c r="E94" s="1"/>
      <c r="F94" s="1"/>
      <c r="G94" s="1"/>
      <c r="H94" s="1"/>
      <c r="I94" s="2"/>
      <c r="J94" s="41"/>
      <c r="K94" s="41"/>
      <c r="L94" s="41"/>
    </row>
    <row r="95" spans="3:12" ht="24.75" customHeight="1">
      <c r="C95" s="1"/>
      <c r="D95" s="1"/>
      <c r="E95" s="1"/>
      <c r="F95" s="1"/>
      <c r="G95" s="1"/>
      <c r="H95" s="1"/>
      <c r="I95" s="2"/>
      <c r="J95" s="41"/>
      <c r="K95" s="41"/>
      <c r="L95" s="41"/>
    </row>
    <row r="96" spans="3:12" ht="24.75" customHeight="1">
      <c r="C96" s="1"/>
      <c r="D96" s="1"/>
      <c r="E96" s="1"/>
      <c r="F96" s="1"/>
      <c r="G96" s="1"/>
      <c r="H96" s="1"/>
      <c r="I96" s="2"/>
      <c r="J96" s="41"/>
      <c r="K96" s="41"/>
      <c r="L96" s="41"/>
    </row>
    <row r="97" spans="3:19" ht="24.75" customHeight="1">
      <c r="C97" s="1"/>
      <c r="D97" s="1"/>
      <c r="E97" s="1"/>
      <c r="F97" s="1"/>
      <c r="G97" s="1"/>
      <c r="H97" s="1"/>
      <c r="I97" s="2"/>
      <c r="J97" s="41"/>
      <c r="K97" s="41"/>
      <c r="L97" s="41"/>
    </row>
    <row r="98" spans="3:19" ht="15.75" customHeight="1">
      <c r="C98" s="1"/>
      <c r="I98" s="2"/>
      <c r="J98" s="41"/>
      <c r="K98" s="41"/>
      <c r="L98" s="41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1"/>
      <c r="K99" s="41"/>
      <c r="L99" s="41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1"/>
      <c r="K100" s="41"/>
      <c r="L100" s="41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1"/>
      <c r="K101" s="41"/>
      <c r="L101" s="41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1"/>
      <c r="K102" s="41"/>
      <c r="L102" s="41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1"/>
      <c r="K103" s="41"/>
      <c r="L103" s="41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1"/>
      <c r="K104" s="41"/>
      <c r="L104" s="41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1"/>
      <c r="K105" s="41"/>
      <c r="L105" s="41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1"/>
      <c r="K106" s="41"/>
      <c r="L106" s="41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1"/>
      <c r="K107" s="41"/>
      <c r="L107" s="41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1"/>
      <c r="K108" s="41"/>
      <c r="L108" s="41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1"/>
      <c r="K109" s="41"/>
      <c r="L109" s="41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1"/>
      <c r="K110" s="41"/>
      <c r="L110" s="41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1"/>
      <c r="K111" s="41"/>
      <c r="L111" s="41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1"/>
      <c r="K112" s="41"/>
      <c r="L112" s="41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1"/>
      <c r="K113" s="41"/>
      <c r="L113" s="41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1"/>
      <c r="K114" s="41"/>
      <c r="L114" s="41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1"/>
      <c r="K115" s="41"/>
      <c r="L115" s="41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1"/>
      <c r="K116" s="41"/>
      <c r="L116" s="41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1"/>
      <c r="K117" s="41"/>
      <c r="L117" s="41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1"/>
      <c r="K118" s="41"/>
      <c r="L118" s="41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1"/>
      <c r="K119" s="41"/>
      <c r="L119" s="41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1"/>
      <c r="K120" s="41"/>
      <c r="L120" s="41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1"/>
      <c r="K121" s="41"/>
      <c r="L121" s="41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1"/>
      <c r="K122" s="41"/>
      <c r="L122" s="41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1"/>
      <c r="K123" s="41"/>
      <c r="L123" s="41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1"/>
      <c r="K124" s="41"/>
      <c r="L124" s="41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1"/>
      <c r="K125" s="41"/>
      <c r="L125" s="41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1"/>
      <c r="K126" s="41"/>
      <c r="L126" s="41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1"/>
      <c r="K127" s="41"/>
      <c r="L127" s="41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1"/>
      <c r="K128" s="41"/>
      <c r="L128" s="41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1"/>
      <c r="K129" s="41"/>
      <c r="L129" s="41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1"/>
      <c r="K130" s="41"/>
      <c r="L130" s="41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1"/>
      <c r="K131" s="41"/>
      <c r="L131" s="41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1"/>
      <c r="K132" s="41"/>
      <c r="L132" s="41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1"/>
      <c r="K133" s="41"/>
      <c r="L133" s="41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1"/>
      <c r="K134" s="41"/>
      <c r="L134" s="41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1"/>
      <c r="K135" s="41"/>
      <c r="L135" s="41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1"/>
      <c r="K136" s="41"/>
      <c r="L136" s="41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1"/>
      <c r="K137" s="41"/>
      <c r="L137" s="41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1"/>
      <c r="K138" s="41"/>
      <c r="L138" s="41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1"/>
      <c r="K139" s="41"/>
      <c r="L139" s="41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1"/>
      <c r="K140" s="41"/>
      <c r="L140" s="41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1"/>
      <c r="K141" s="41"/>
      <c r="L141" s="41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1"/>
      <c r="K142" s="41"/>
      <c r="L142" s="41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1"/>
      <c r="K143" s="41"/>
      <c r="L143" s="41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1"/>
      <c r="K144" s="41"/>
      <c r="L144" s="41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1"/>
      <c r="K145" s="41"/>
      <c r="L145" s="41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1"/>
      <c r="K146" s="41"/>
      <c r="L146" s="41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1"/>
      <c r="K147" s="41"/>
      <c r="L147" s="41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1"/>
      <c r="K148" s="41"/>
      <c r="L148" s="41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1"/>
      <c r="K149" s="41"/>
      <c r="L149" s="41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1"/>
      <c r="K150" s="41"/>
      <c r="L150" s="41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1"/>
      <c r="K151" s="41"/>
      <c r="L151" s="41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1"/>
      <c r="K152" s="41"/>
      <c r="L152" s="41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1"/>
      <c r="K153" s="41"/>
      <c r="L153" s="41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1"/>
      <c r="K154" s="41"/>
      <c r="L154" s="41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1"/>
      <c r="K155" s="41"/>
      <c r="L155" s="41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1"/>
      <c r="K156" s="41"/>
      <c r="L156" s="41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1"/>
      <c r="K157" s="41"/>
      <c r="L157" s="41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1"/>
      <c r="K158" s="41"/>
      <c r="L158" s="41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1"/>
      <c r="K159" s="41"/>
      <c r="L159" s="41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1"/>
      <c r="K160" s="41"/>
      <c r="L160" s="41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1"/>
      <c r="K161" s="41"/>
      <c r="L161" s="41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1"/>
      <c r="K162" s="41"/>
      <c r="L162" s="41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1"/>
      <c r="K163" s="41"/>
      <c r="L163" s="41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1"/>
      <c r="K164" s="41"/>
      <c r="L164" s="41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1"/>
      <c r="K165" s="41"/>
      <c r="L165" s="41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1"/>
      <c r="K166" s="41"/>
      <c r="L166" s="41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1"/>
      <c r="K167" s="41"/>
      <c r="L167" s="41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1"/>
      <c r="K168" s="41"/>
      <c r="L168" s="41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1"/>
      <c r="K169" s="41"/>
      <c r="L169" s="41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1"/>
      <c r="K170" s="41"/>
      <c r="L170" s="41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1"/>
      <c r="K171" s="41"/>
      <c r="L171" s="41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1"/>
      <c r="K172" s="41"/>
      <c r="L172" s="41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1"/>
      <c r="K173" s="41"/>
      <c r="L173" s="41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1"/>
      <c r="K174" s="41"/>
      <c r="L174" s="41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1"/>
      <c r="K175" s="41"/>
      <c r="L175" s="41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1"/>
      <c r="K176" s="41"/>
      <c r="L176" s="41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1"/>
      <c r="K177" s="41"/>
      <c r="L177" s="41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1"/>
      <c r="K178" s="41"/>
      <c r="L178" s="41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1"/>
      <c r="K179" s="41"/>
      <c r="L179" s="41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1"/>
      <c r="K180" s="41"/>
      <c r="L180" s="41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1"/>
      <c r="K181" s="41"/>
      <c r="L181" s="41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1"/>
      <c r="K182" s="41"/>
      <c r="L182" s="41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1"/>
      <c r="K183" s="41"/>
      <c r="L183" s="41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1"/>
      <c r="K184" s="41"/>
      <c r="L184" s="41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1"/>
      <c r="K185" s="41"/>
      <c r="L185" s="41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1"/>
      <c r="K186" s="41"/>
      <c r="L186" s="41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1"/>
      <c r="K187" s="41"/>
      <c r="L187" s="41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1"/>
      <c r="K188" s="41"/>
      <c r="L188" s="41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1"/>
      <c r="K189" s="41"/>
      <c r="L189" s="41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1"/>
      <c r="K190" s="41"/>
      <c r="L190" s="41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1"/>
      <c r="K191" s="41"/>
      <c r="L191" s="41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1"/>
      <c r="K192" s="41"/>
      <c r="L192" s="41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1"/>
      <c r="K193" s="41"/>
      <c r="L193" s="41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1"/>
      <c r="K194" s="41"/>
      <c r="L194" s="41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1"/>
      <c r="K195" s="41"/>
      <c r="L195" s="41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1"/>
      <c r="K196" s="41"/>
      <c r="L196" s="41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1"/>
      <c r="K197" s="41"/>
      <c r="L197" s="41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1"/>
      <c r="K198" s="41"/>
      <c r="L198" s="41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1"/>
      <c r="K199" s="41"/>
      <c r="L199" s="41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1"/>
      <c r="K200" s="41"/>
      <c r="L200" s="41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1"/>
      <c r="K201" s="41"/>
      <c r="L201" s="41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1"/>
      <c r="K202" s="41"/>
      <c r="L202" s="41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1"/>
      <c r="K203" s="41"/>
      <c r="L203" s="41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1"/>
      <c r="K204" s="41"/>
      <c r="L204" s="41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1"/>
      <c r="K205" s="41"/>
      <c r="L205" s="41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1"/>
      <c r="K206" s="41"/>
      <c r="L206" s="41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1"/>
      <c r="K207" s="41"/>
      <c r="L207" s="41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1"/>
      <c r="K208" s="41"/>
      <c r="L208" s="41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1"/>
      <c r="K209" s="41"/>
      <c r="L209" s="41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1"/>
      <c r="K210" s="41"/>
      <c r="L210" s="41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1"/>
      <c r="K211" s="41"/>
      <c r="L211" s="41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1"/>
      <c r="K212" s="41"/>
      <c r="L212" s="41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1"/>
      <c r="K213" s="41"/>
      <c r="L213" s="41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1"/>
      <c r="K214" s="41"/>
      <c r="L214" s="41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1"/>
      <c r="K215" s="41"/>
      <c r="L215" s="41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1"/>
      <c r="K216" s="41"/>
      <c r="L216" s="41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1"/>
      <c r="K217" s="41"/>
      <c r="L217" s="41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1"/>
      <c r="K218" s="41"/>
      <c r="L218" s="41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1"/>
      <c r="K219" s="41"/>
      <c r="L219" s="41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1"/>
      <c r="K220" s="41"/>
      <c r="L220" s="41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1"/>
      <c r="K221" s="41"/>
      <c r="L221" s="41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1"/>
      <c r="K222" s="41"/>
      <c r="L222" s="41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1"/>
      <c r="K223" s="41"/>
      <c r="L223" s="41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1"/>
      <c r="K224" s="41"/>
      <c r="L224" s="41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1"/>
      <c r="K225" s="41"/>
      <c r="L225" s="41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1"/>
      <c r="K226" s="41"/>
      <c r="L226" s="41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1"/>
      <c r="K227" s="41"/>
      <c r="L227" s="41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1"/>
      <c r="K228" s="41"/>
      <c r="L228" s="41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1"/>
      <c r="K229" s="41"/>
      <c r="L229" s="41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1"/>
      <c r="K230" s="41"/>
      <c r="L230" s="41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1"/>
      <c r="K231" s="41"/>
      <c r="L231" s="41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1"/>
      <c r="K232" s="41"/>
      <c r="L232" s="41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1"/>
      <c r="K233" s="41"/>
      <c r="L233" s="41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1"/>
      <c r="K234" s="41"/>
      <c r="L234" s="41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1"/>
      <c r="K235" s="41"/>
      <c r="L235" s="41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1"/>
      <c r="K236" s="41"/>
      <c r="L236" s="41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1"/>
      <c r="K237" s="41"/>
      <c r="L237" s="41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1"/>
      <c r="K238" s="41"/>
      <c r="L238" s="41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1"/>
      <c r="K239" s="41"/>
      <c r="L239" s="41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1"/>
      <c r="K240" s="41"/>
      <c r="L240" s="41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1"/>
      <c r="K241" s="41"/>
      <c r="L241" s="41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1"/>
      <c r="K242" s="41"/>
      <c r="L242" s="41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1"/>
      <c r="K243" s="41"/>
      <c r="L243" s="41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1"/>
      <c r="K244" s="41"/>
      <c r="L244" s="41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1"/>
      <c r="K245" s="41"/>
      <c r="L245" s="41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1"/>
      <c r="K246" s="41"/>
      <c r="L246" s="41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1"/>
      <c r="K247" s="41"/>
      <c r="L247" s="41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1"/>
      <c r="K248" s="41"/>
      <c r="L248" s="41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1"/>
      <c r="K249" s="41"/>
      <c r="L249" s="41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1"/>
      <c r="K250" s="41"/>
      <c r="L250" s="41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1"/>
      <c r="K251" s="41"/>
      <c r="L251" s="41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1"/>
      <c r="K252" s="41"/>
      <c r="L252" s="41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1"/>
      <c r="K253" s="41"/>
      <c r="L253" s="41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1"/>
      <c r="K254" s="41"/>
      <c r="L254" s="41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1"/>
      <c r="K255" s="41"/>
      <c r="L255" s="41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1"/>
      <c r="K256" s="41"/>
      <c r="L256" s="41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1"/>
      <c r="K257" s="41"/>
      <c r="L257" s="41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1"/>
      <c r="K258" s="41"/>
      <c r="L258" s="41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1"/>
      <c r="K259" s="41"/>
      <c r="L259" s="41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1"/>
      <c r="K260" s="41"/>
      <c r="L260" s="41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1"/>
      <c r="K261" s="41"/>
      <c r="L261" s="41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1"/>
      <c r="K262" s="41"/>
      <c r="L262" s="41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1"/>
      <c r="K263" s="41"/>
      <c r="L263" s="41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1"/>
      <c r="K264" s="41"/>
      <c r="L264" s="41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1"/>
      <c r="K265" s="41"/>
      <c r="L265" s="41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1"/>
      <c r="K266" s="41"/>
      <c r="L266" s="41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1"/>
      <c r="K267" s="41"/>
      <c r="L267" s="41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1"/>
      <c r="K268" s="41"/>
      <c r="L268" s="41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1"/>
      <c r="K269" s="41"/>
      <c r="L269" s="41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1"/>
      <c r="K270" s="41"/>
      <c r="L270" s="41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1"/>
      <c r="K271" s="41"/>
      <c r="L271" s="41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1"/>
      <c r="K272" s="41"/>
      <c r="L272" s="41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1"/>
      <c r="K273" s="41"/>
      <c r="L273" s="41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1"/>
      <c r="K274" s="41"/>
      <c r="L274" s="41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1"/>
      <c r="K275" s="41"/>
      <c r="L275" s="41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1"/>
      <c r="K276" s="41"/>
      <c r="L276" s="41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1"/>
      <c r="K277" s="41"/>
      <c r="L277" s="41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1"/>
      <c r="K278" s="41"/>
      <c r="L278" s="41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1"/>
      <c r="K279" s="41"/>
      <c r="L279" s="41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1"/>
      <c r="K280" s="41"/>
      <c r="L280" s="41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1"/>
      <c r="K281" s="41"/>
      <c r="L281" s="41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1"/>
      <c r="K282" s="41"/>
      <c r="L282" s="41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1"/>
      <c r="K283" s="41"/>
      <c r="L283" s="41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1"/>
      <c r="K284" s="41"/>
      <c r="L284" s="41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1"/>
      <c r="K285" s="41"/>
      <c r="L285" s="41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1"/>
      <c r="K286" s="41"/>
      <c r="L286" s="41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1"/>
      <c r="K287" s="41"/>
      <c r="L287" s="41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1"/>
      <c r="K288" s="41"/>
      <c r="L288" s="41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1"/>
      <c r="K289" s="41"/>
      <c r="L289" s="41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1"/>
      <c r="K290" s="41"/>
      <c r="L290" s="41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1"/>
      <c r="K291" s="41"/>
      <c r="L291" s="41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1"/>
      <c r="K292" s="41"/>
      <c r="L292" s="41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1"/>
      <c r="K293" s="41"/>
      <c r="L293" s="41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1"/>
      <c r="K294" s="41"/>
      <c r="L294" s="41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1"/>
      <c r="K295" s="41"/>
      <c r="L295" s="41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1"/>
      <c r="K296" s="41"/>
      <c r="L296" s="41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1"/>
      <c r="K297" s="41"/>
      <c r="L297" s="41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1"/>
      <c r="K298" s="41"/>
      <c r="L298" s="41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1"/>
      <c r="K299" s="41"/>
      <c r="L299" s="41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1"/>
      <c r="K300" s="41"/>
      <c r="L300" s="41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1"/>
      <c r="K301" s="41"/>
      <c r="L301" s="41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1"/>
      <c r="K302" s="41"/>
      <c r="L302" s="41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1"/>
      <c r="K303" s="41"/>
      <c r="L303" s="41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1"/>
      <c r="K304" s="41"/>
      <c r="L304" s="41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1"/>
      <c r="K305" s="41"/>
      <c r="L305" s="41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1"/>
      <c r="K306" s="41"/>
      <c r="L306" s="41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1"/>
      <c r="K307" s="41"/>
      <c r="L307" s="41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1"/>
      <c r="K308" s="41"/>
      <c r="L308" s="41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1"/>
      <c r="K309" s="41"/>
      <c r="L309" s="41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1"/>
      <c r="K310" s="41"/>
      <c r="L310" s="41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1"/>
      <c r="K311" s="41"/>
      <c r="L311" s="41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1"/>
      <c r="K312" s="41"/>
      <c r="L312" s="41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1"/>
      <c r="K313" s="41"/>
      <c r="L313" s="41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1"/>
      <c r="K314" s="41"/>
      <c r="L314" s="41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1"/>
      <c r="K315" s="41"/>
      <c r="L315" s="41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1"/>
      <c r="K316" s="41"/>
      <c r="L316" s="41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1"/>
      <c r="K317" s="41"/>
      <c r="L317" s="41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1"/>
      <c r="K318" s="41"/>
      <c r="L318" s="41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1"/>
      <c r="K319" s="41"/>
      <c r="L319" s="41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1"/>
      <c r="K320" s="41"/>
      <c r="L320" s="41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1"/>
      <c r="K321" s="41"/>
      <c r="L321" s="41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1"/>
      <c r="K322" s="41"/>
      <c r="L322" s="41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1"/>
      <c r="K323" s="41"/>
      <c r="L323" s="41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1"/>
      <c r="K324" s="41"/>
      <c r="L324" s="41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1"/>
      <c r="K325" s="41"/>
      <c r="L325" s="41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1"/>
      <c r="K326" s="41"/>
      <c r="L326" s="41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1"/>
      <c r="K327" s="41"/>
      <c r="L327" s="41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1"/>
      <c r="K328" s="41"/>
      <c r="L328" s="41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1"/>
      <c r="K329" s="41"/>
      <c r="L329" s="41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1"/>
      <c r="K330" s="41"/>
      <c r="L330" s="41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1"/>
      <c r="K331" s="41"/>
      <c r="L331" s="41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1"/>
      <c r="K332" s="41"/>
      <c r="L332" s="41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1"/>
      <c r="K333" s="41"/>
      <c r="L333" s="41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1"/>
      <c r="K334" s="41"/>
      <c r="L334" s="41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1"/>
      <c r="K335" s="41"/>
      <c r="L335" s="41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1"/>
      <c r="K336" s="41"/>
      <c r="L336" s="41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1"/>
      <c r="K337" s="41"/>
      <c r="L337" s="41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1"/>
      <c r="K338" s="41"/>
      <c r="L338" s="41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1"/>
      <c r="K339" s="41"/>
      <c r="L339" s="41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1"/>
      <c r="K340" s="41"/>
      <c r="L340" s="41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1"/>
      <c r="K341" s="41"/>
      <c r="L341" s="41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1"/>
      <c r="K342" s="41"/>
      <c r="L342" s="41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1"/>
      <c r="K343" s="41"/>
      <c r="L343" s="41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1"/>
      <c r="K344" s="41"/>
      <c r="L344" s="41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1"/>
      <c r="K345" s="41"/>
      <c r="L345" s="41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1"/>
      <c r="K346" s="41"/>
      <c r="L346" s="41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1"/>
      <c r="K347" s="41"/>
      <c r="L347" s="41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1"/>
      <c r="K348" s="41"/>
      <c r="L348" s="41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1"/>
      <c r="K349" s="41"/>
      <c r="L349" s="41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1"/>
      <c r="K350" s="41"/>
      <c r="L350" s="41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1"/>
      <c r="K351" s="41"/>
      <c r="L351" s="41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1"/>
      <c r="K352" s="41"/>
      <c r="L352" s="41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1"/>
      <c r="K353" s="41"/>
      <c r="L353" s="41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1"/>
      <c r="K354" s="41"/>
      <c r="L354" s="41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1"/>
      <c r="K355" s="41"/>
      <c r="L355" s="41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1"/>
      <c r="K356" s="41"/>
      <c r="L356" s="41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1"/>
      <c r="K357" s="41"/>
      <c r="L357" s="41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1"/>
      <c r="K358" s="41"/>
      <c r="L358" s="41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1"/>
      <c r="K359" s="41"/>
      <c r="L359" s="41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1"/>
      <c r="K360" s="41"/>
      <c r="L360" s="41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1"/>
      <c r="K361" s="41"/>
      <c r="L361" s="41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1"/>
      <c r="K362" s="41"/>
      <c r="L362" s="41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1"/>
      <c r="K363" s="41"/>
      <c r="L363" s="41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1"/>
      <c r="K364" s="41"/>
      <c r="L364" s="41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1"/>
      <c r="K365" s="41"/>
      <c r="L365" s="41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1"/>
      <c r="K366" s="41"/>
      <c r="L366" s="41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1"/>
      <c r="K367" s="41"/>
      <c r="L367" s="41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1"/>
      <c r="K368" s="41"/>
      <c r="L368" s="41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1"/>
      <c r="K369" s="41"/>
      <c r="L369" s="41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1"/>
      <c r="K370" s="41"/>
      <c r="L370" s="41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1"/>
      <c r="K371" s="41"/>
      <c r="L371" s="41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1"/>
      <c r="K372" s="41"/>
      <c r="L372" s="41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1"/>
      <c r="K373" s="41"/>
      <c r="L373" s="41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1"/>
      <c r="K374" s="41"/>
      <c r="L374" s="41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1"/>
      <c r="K375" s="41"/>
      <c r="L375" s="41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1"/>
      <c r="K376" s="41"/>
      <c r="L376" s="41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1"/>
      <c r="K377" s="41"/>
      <c r="L377" s="41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1"/>
      <c r="K378" s="41"/>
      <c r="L378" s="41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1"/>
      <c r="K379" s="41"/>
      <c r="L379" s="41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1"/>
      <c r="K380" s="41"/>
      <c r="L380" s="41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1"/>
      <c r="K381" s="41"/>
      <c r="L381" s="41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1"/>
      <c r="K382" s="41"/>
      <c r="L382" s="41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1"/>
      <c r="K383" s="41"/>
      <c r="L383" s="41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1"/>
      <c r="K384" s="41"/>
      <c r="L384" s="41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1"/>
      <c r="K385" s="41"/>
      <c r="L385" s="41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1"/>
      <c r="K386" s="41"/>
      <c r="L386" s="41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1"/>
      <c r="K387" s="41"/>
      <c r="L387" s="41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1"/>
      <c r="K388" s="41"/>
      <c r="L388" s="41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1"/>
      <c r="K389" s="41"/>
      <c r="L389" s="41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1"/>
      <c r="K390" s="41"/>
      <c r="L390" s="41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1"/>
      <c r="K391" s="41"/>
      <c r="L391" s="41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1"/>
      <c r="K392" s="41"/>
      <c r="L392" s="41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1"/>
      <c r="K393" s="41"/>
      <c r="L393" s="41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1"/>
      <c r="K394" s="41"/>
      <c r="L394" s="41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1"/>
      <c r="K395" s="41"/>
      <c r="L395" s="41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1"/>
      <c r="K396" s="41"/>
      <c r="L396" s="41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1"/>
      <c r="K397" s="41"/>
      <c r="L397" s="41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1"/>
      <c r="K398" s="41"/>
      <c r="L398" s="41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1"/>
      <c r="K399" s="41"/>
      <c r="L399" s="41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1"/>
      <c r="K400" s="41"/>
      <c r="L400" s="41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1"/>
      <c r="K401" s="41"/>
      <c r="L401" s="41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1"/>
      <c r="K402" s="41"/>
      <c r="L402" s="41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1"/>
      <c r="K403" s="41"/>
      <c r="L403" s="41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1"/>
      <c r="K404" s="41"/>
      <c r="L404" s="41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1"/>
      <c r="K405" s="41"/>
      <c r="L405" s="41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1"/>
      <c r="K406" s="41"/>
      <c r="L406" s="41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1"/>
      <c r="K407" s="41"/>
      <c r="L407" s="41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1"/>
      <c r="K408" s="41"/>
      <c r="L408" s="41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1"/>
      <c r="K409" s="41"/>
      <c r="L409" s="41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1"/>
      <c r="K410" s="41"/>
      <c r="L410" s="41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1"/>
      <c r="K411" s="41"/>
      <c r="L411" s="41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1"/>
      <c r="K412" s="41"/>
      <c r="L412" s="41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1"/>
      <c r="K413" s="41"/>
      <c r="L413" s="41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1"/>
      <c r="K414" s="41"/>
      <c r="L414" s="41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1"/>
      <c r="K415" s="41"/>
      <c r="L415" s="41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1"/>
      <c r="K416" s="41"/>
      <c r="L416" s="41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1"/>
      <c r="K417" s="41"/>
      <c r="L417" s="41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1"/>
      <c r="K418" s="41"/>
      <c r="L418" s="41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1"/>
      <c r="K419" s="41"/>
      <c r="L419" s="41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1"/>
      <c r="K420" s="41"/>
      <c r="L420" s="41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1"/>
      <c r="K421" s="41"/>
      <c r="L421" s="41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1"/>
      <c r="K422" s="41"/>
      <c r="L422" s="41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1"/>
      <c r="K423" s="41"/>
      <c r="L423" s="41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1"/>
      <c r="K424" s="41"/>
      <c r="L424" s="41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1"/>
      <c r="K425" s="41"/>
      <c r="L425" s="41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1"/>
      <c r="K426" s="41"/>
      <c r="L426" s="41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1"/>
      <c r="K427" s="41"/>
      <c r="L427" s="41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1"/>
      <c r="K428" s="41"/>
      <c r="L428" s="41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1"/>
      <c r="K429" s="41"/>
      <c r="L429" s="41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1"/>
      <c r="K430" s="41"/>
      <c r="L430" s="41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1"/>
      <c r="K431" s="41"/>
      <c r="L431" s="41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1"/>
      <c r="K432" s="41"/>
      <c r="L432" s="41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1"/>
      <c r="K433" s="41"/>
      <c r="L433" s="41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1"/>
      <c r="K434" s="41"/>
      <c r="L434" s="41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1"/>
      <c r="K435" s="41"/>
      <c r="L435" s="41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1"/>
      <c r="K436" s="41"/>
      <c r="L436" s="41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1"/>
      <c r="K437" s="41"/>
      <c r="L437" s="41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1"/>
      <c r="K438" s="41"/>
      <c r="L438" s="41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1"/>
      <c r="K439" s="41"/>
      <c r="L439" s="41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1"/>
      <c r="K440" s="41"/>
      <c r="L440" s="41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1"/>
      <c r="K441" s="41"/>
      <c r="L441" s="41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1"/>
      <c r="K442" s="41"/>
      <c r="L442" s="41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1"/>
      <c r="K443" s="41"/>
      <c r="L443" s="41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1"/>
      <c r="K444" s="41"/>
      <c r="L444" s="41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1"/>
      <c r="K445" s="41"/>
      <c r="L445" s="41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1"/>
      <c r="K446" s="41"/>
      <c r="L446" s="41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1"/>
      <c r="K447" s="41"/>
      <c r="L447" s="41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1"/>
      <c r="K448" s="41"/>
      <c r="L448" s="41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1"/>
      <c r="K449" s="41"/>
      <c r="L449" s="41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1"/>
      <c r="K450" s="41"/>
      <c r="L450" s="41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1"/>
      <c r="K451" s="41"/>
      <c r="L451" s="41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1"/>
      <c r="K452" s="41"/>
      <c r="L452" s="41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1"/>
      <c r="K453" s="41"/>
      <c r="L453" s="41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1"/>
      <c r="K454" s="41"/>
      <c r="L454" s="41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1"/>
      <c r="K455" s="41"/>
      <c r="L455" s="41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1"/>
      <c r="K456" s="41"/>
      <c r="L456" s="41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1"/>
      <c r="K457" s="41"/>
      <c r="L457" s="41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1"/>
      <c r="K458" s="41"/>
      <c r="L458" s="41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1"/>
      <c r="K459" s="41"/>
      <c r="L459" s="41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1"/>
      <c r="K460" s="41"/>
      <c r="L460" s="41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1"/>
      <c r="K461" s="41"/>
      <c r="L461" s="41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1"/>
      <c r="K462" s="41"/>
      <c r="L462" s="41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1"/>
      <c r="K463" s="41"/>
      <c r="L463" s="41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1"/>
      <c r="K464" s="41"/>
      <c r="L464" s="41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1"/>
      <c r="K465" s="41"/>
      <c r="L465" s="41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1"/>
      <c r="K466" s="41"/>
      <c r="L466" s="41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1"/>
      <c r="K467" s="41"/>
      <c r="L467" s="41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1"/>
      <c r="K468" s="41"/>
      <c r="L468" s="41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1"/>
      <c r="K469" s="41"/>
      <c r="L469" s="41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1"/>
      <c r="K470" s="41"/>
      <c r="L470" s="41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1"/>
      <c r="K471" s="41"/>
      <c r="L471" s="41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1"/>
      <c r="K472" s="41"/>
      <c r="L472" s="41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1"/>
      <c r="K473" s="41"/>
      <c r="L473" s="41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1"/>
      <c r="K474" s="41"/>
      <c r="L474" s="41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1"/>
      <c r="K475" s="41"/>
      <c r="L475" s="41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1"/>
      <c r="K476" s="41"/>
      <c r="L476" s="41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1"/>
      <c r="K477" s="41"/>
      <c r="L477" s="41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1"/>
      <c r="K478" s="41"/>
      <c r="L478" s="41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1"/>
      <c r="K479" s="41"/>
      <c r="L479" s="41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1"/>
      <c r="K480" s="41"/>
      <c r="L480" s="41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1"/>
      <c r="K481" s="41"/>
      <c r="L481" s="41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1"/>
      <c r="K482" s="41"/>
      <c r="L482" s="41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1"/>
      <c r="K483" s="41"/>
      <c r="L483" s="41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1"/>
      <c r="K484" s="41"/>
      <c r="L484" s="41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1"/>
      <c r="K485" s="41"/>
      <c r="L485" s="41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1"/>
      <c r="K486" s="41"/>
      <c r="L486" s="41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1"/>
      <c r="K487" s="41"/>
      <c r="L487" s="41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1"/>
      <c r="K488" s="41"/>
      <c r="L488" s="41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1"/>
      <c r="K489" s="41"/>
      <c r="L489" s="41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1"/>
      <c r="K490" s="41"/>
      <c r="L490" s="41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1"/>
      <c r="K491" s="41"/>
      <c r="L491" s="41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1"/>
      <c r="K492" s="41"/>
      <c r="L492" s="41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1"/>
      <c r="K493" s="41"/>
      <c r="L493" s="41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1"/>
      <c r="K494" s="41"/>
      <c r="L494" s="41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1"/>
      <c r="K495" s="41"/>
      <c r="L495" s="41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1"/>
      <c r="K496" s="41"/>
      <c r="L496" s="41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1"/>
      <c r="K497" s="41"/>
      <c r="L497" s="41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1"/>
      <c r="K498" s="41"/>
      <c r="L498" s="41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1"/>
      <c r="K499" s="41"/>
      <c r="L499" s="41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1"/>
      <c r="K500" s="41"/>
      <c r="L500" s="41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1"/>
      <c r="K501" s="41"/>
      <c r="L501" s="41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1"/>
      <c r="K502" s="41"/>
      <c r="L502" s="41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1"/>
      <c r="K503" s="41"/>
      <c r="L503" s="41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1"/>
      <c r="K504" s="41"/>
      <c r="L504" s="41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1"/>
      <c r="K505" s="41"/>
      <c r="L505" s="41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1"/>
      <c r="K506" s="41"/>
      <c r="L506" s="41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1"/>
      <c r="K507" s="41"/>
      <c r="L507" s="41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1"/>
      <c r="K508" s="41"/>
      <c r="L508" s="41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1"/>
      <c r="K509" s="41"/>
      <c r="L509" s="41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1"/>
      <c r="K510" s="41"/>
      <c r="L510" s="41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1"/>
      <c r="K511" s="41"/>
      <c r="L511" s="41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1"/>
      <c r="K512" s="41"/>
      <c r="L512" s="41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1"/>
      <c r="K513" s="41"/>
      <c r="L513" s="41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1"/>
      <c r="K514" s="41"/>
      <c r="L514" s="41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1"/>
      <c r="K515" s="41"/>
      <c r="L515" s="41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1"/>
      <c r="K516" s="41"/>
      <c r="L516" s="41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1"/>
      <c r="K517" s="41"/>
      <c r="L517" s="41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1"/>
      <c r="K518" s="41"/>
      <c r="L518" s="41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1"/>
      <c r="K519" s="41"/>
      <c r="L519" s="41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1"/>
      <c r="K520" s="41"/>
      <c r="L520" s="41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1"/>
      <c r="K521" s="41"/>
      <c r="L521" s="41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1"/>
      <c r="K522" s="41"/>
      <c r="L522" s="41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1"/>
      <c r="K523" s="41"/>
      <c r="L523" s="41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1"/>
      <c r="K524" s="41"/>
      <c r="L524" s="41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1"/>
      <c r="K525" s="41"/>
      <c r="L525" s="41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1"/>
      <c r="K526" s="41"/>
      <c r="L526" s="41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1"/>
      <c r="K527" s="41"/>
      <c r="L527" s="41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1"/>
      <c r="K528" s="41"/>
      <c r="L528" s="41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1"/>
      <c r="K529" s="41"/>
      <c r="L529" s="41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1"/>
      <c r="K530" s="41"/>
      <c r="L530" s="41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1"/>
      <c r="K531" s="41"/>
      <c r="L531" s="41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1"/>
      <c r="K532" s="41"/>
      <c r="L532" s="41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1"/>
      <c r="K533" s="41"/>
      <c r="L533" s="41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1"/>
      <c r="K534" s="41"/>
      <c r="L534" s="41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1"/>
      <c r="K535" s="41"/>
      <c r="L535" s="41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1"/>
      <c r="K536" s="41"/>
      <c r="L536" s="41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1"/>
      <c r="K537" s="41"/>
      <c r="L537" s="41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1"/>
      <c r="K538" s="41"/>
      <c r="L538" s="41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1"/>
      <c r="K539" s="41"/>
      <c r="L539" s="41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1"/>
      <c r="K540" s="41"/>
      <c r="L540" s="41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1"/>
      <c r="K541" s="41"/>
      <c r="L541" s="41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1"/>
      <c r="K542" s="41"/>
      <c r="L542" s="41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1"/>
      <c r="K543" s="41"/>
      <c r="L543" s="41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1"/>
      <c r="K544" s="41"/>
      <c r="L544" s="41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1"/>
      <c r="K545" s="41"/>
      <c r="L545" s="41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1"/>
      <c r="K546" s="41"/>
      <c r="L546" s="41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1"/>
      <c r="K547" s="41"/>
      <c r="L547" s="41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1"/>
      <c r="K548" s="41"/>
      <c r="L548" s="41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1"/>
      <c r="K549" s="41"/>
      <c r="L549" s="41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1"/>
      <c r="K550" s="41"/>
      <c r="L550" s="41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1"/>
      <c r="K551" s="41"/>
      <c r="L551" s="41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1"/>
      <c r="K552" s="41"/>
      <c r="L552" s="41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1"/>
      <c r="K553" s="41"/>
      <c r="L553" s="41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1"/>
      <c r="K554" s="41"/>
      <c r="L554" s="41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1"/>
      <c r="K555" s="41"/>
      <c r="L555" s="41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1"/>
      <c r="K556" s="41"/>
      <c r="L556" s="41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1"/>
      <c r="K557" s="41"/>
      <c r="L557" s="41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1"/>
      <c r="K558" s="41"/>
      <c r="L558" s="41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1"/>
      <c r="K559" s="41"/>
      <c r="L559" s="41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1"/>
      <c r="K560" s="41"/>
      <c r="L560" s="41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1"/>
      <c r="K561" s="41"/>
      <c r="L561" s="41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1"/>
      <c r="K562" s="41"/>
      <c r="L562" s="41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1"/>
      <c r="K563" s="41"/>
      <c r="L563" s="41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1"/>
      <c r="K564" s="41"/>
      <c r="L564" s="41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1"/>
      <c r="K565" s="41"/>
      <c r="L565" s="41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1"/>
      <c r="K566" s="41"/>
      <c r="L566" s="41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1"/>
      <c r="K567" s="41"/>
      <c r="L567" s="41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1"/>
      <c r="K568" s="41"/>
      <c r="L568" s="41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1"/>
      <c r="K569" s="41"/>
      <c r="L569" s="41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1"/>
      <c r="K570" s="41"/>
      <c r="L570" s="41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1"/>
      <c r="K571" s="41"/>
      <c r="L571" s="41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1"/>
      <c r="K572" s="41"/>
      <c r="L572" s="41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1"/>
      <c r="K573" s="41"/>
      <c r="L573" s="41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1"/>
      <c r="K574" s="41"/>
      <c r="L574" s="41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1"/>
      <c r="K575" s="41"/>
      <c r="L575" s="41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1"/>
      <c r="K576" s="41"/>
      <c r="L576" s="41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1"/>
      <c r="K577" s="41"/>
      <c r="L577" s="41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1"/>
      <c r="K578" s="41"/>
      <c r="L578" s="41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1"/>
      <c r="K579" s="41"/>
      <c r="L579" s="41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1"/>
      <c r="K580" s="41"/>
      <c r="L580" s="41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1"/>
      <c r="K581" s="41"/>
      <c r="L581" s="41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1"/>
      <c r="K582" s="41"/>
      <c r="L582" s="41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1"/>
      <c r="K583" s="41"/>
      <c r="L583" s="41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1"/>
      <c r="K584" s="41"/>
      <c r="L584" s="41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1"/>
      <c r="K585" s="41"/>
      <c r="L585" s="41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1"/>
      <c r="K586" s="41"/>
      <c r="L586" s="41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1"/>
      <c r="K587" s="41"/>
      <c r="L587" s="41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1"/>
      <c r="K588" s="41"/>
      <c r="L588" s="41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1"/>
      <c r="K589" s="41"/>
      <c r="L589" s="41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1"/>
      <c r="K590" s="41"/>
      <c r="L590" s="41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1"/>
      <c r="K591" s="41"/>
      <c r="L591" s="41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1"/>
      <c r="K592" s="41"/>
      <c r="L592" s="41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1"/>
      <c r="K593" s="41"/>
      <c r="L593" s="41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1"/>
      <c r="K594" s="41"/>
      <c r="L594" s="41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1"/>
      <c r="K595" s="41"/>
      <c r="L595" s="41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1"/>
      <c r="K596" s="41"/>
      <c r="L596" s="41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1"/>
      <c r="K597" s="41"/>
      <c r="L597" s="41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1"/>
      <c r="K598" s="41"/>
      <c r="L598" s="41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1"/>
      <c r="K599" s="41"/>
      <c r="L599" s="41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1"/>
      <c r="K600" s="41"/>
      <c r="L600" s="41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1"/>
      <c r="K601" s="41"/>
      <c r="L601" s="41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1"/>
      <c r="K602" s="41"/>
      <c r="L602" s="41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1"/>
      <c r="K603" s="41"/>
      <c r="L603" s="41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1"/>
      <c r="K604" s="41"/>
      <c r="L604" s="41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1"/>
      <c r="K605" s="41"/>
      <c r="L605" s="41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1"/>
      <c r="K606" s="41"/>
      <c r="L606" s="41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1"/>
      <c r="K607" s="41"/>
      <c r="L607" s="41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1"/>
      <c r="K608" s="41"/>
      <c r="L608" s="41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1"/>
      <c r="K609" s="41"/>
      <c r="L609" s="41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1"/>
      <c r="K610" s="41"/>
      <c r="L610" s="41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1"/>
      <c r="K611" s="41"/>
      <c r="L611" s="41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1"/>
      <c r="K612" s="41"/>
      <c r="L612" s="41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1"/>
      <c r="K613" s="41"/>
      <c r="L613" s="41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1"/>
      <c r="K614" s="41"/>
      <c r="L614" s="41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1"/>
      <c r="K615" s="41"/>
      <c r="L615" s="41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1"/>
      <c r="K616" s="41"/>
      <c r="L616" s="41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1"/>
      <c r="K617" s="41"/>
      <c r="L617" s="41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1"/>
      <c r="K618" s="41"/>
      <c r="L618" s="41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1"/>
      <c r="K619" s="41"/>
      <c r="L619" s="41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1"/>
      <c r="K620" s="41"/>
      <c r="L620" s="41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1"/>
      <c r="K621" s="41"/>
      <c r="L621" s="41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1"/>
      <c r="K622" s="41"/>
      <c r="L622" s="41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1"/>
      <c r="K623" s="41"/>
      <c r="L623" s="41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1"/>
      <c r="K624" s="41"/>
      <c r="L624" s="41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1"/>
      <c r="K625" s="41"/>
      <c r="L625" s="41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1"/>
      <c r="K626" s="41"/>
      <c r="L626" s="41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1"/>
      <c r="K627" s="41"/>
      <c r="L627" s="41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1"/>
      <c r="K628" s="41"/>
      <c r="L628" s="41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1"/>
      <c r="K629" s="41"/>
      <c r="L629" s="41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1"/>
      <c r="K630" s="41"/>
      <c r="L630" s="41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1"/>
      <c r="K631" s="41"/>
      <c r="L631" s="41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1"/>
      <c r="K632" s="41"/>
      <c r="L632" s="41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1"/>
      <c r="K633" s="41"/>
      <c r="L633" s="41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1"/>
      <c r="K634" s="41"/>
      <c r="L634" s="41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1"/>
      <c r="K635" s="41"/>
      <c r="L635" s="41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1"/>
      <c r="K636" s="41"/>
      <c r="L636" s="41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1"/>
      <c r="K637" s="41"/>
      <c r="L637" s="41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1"/>
      <c r="K638" s="41"/>
      <c r="L638" s="41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1"/>
      <c r="K639" s="41"/>
      <c r="L639" s="41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1"/>
      <c r="K640" s="41"/>
      <c r="L640" s="41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1"/>
      <c r="K641" s="41"/>
      <c r="L641" s="41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1"/>
      <c r="K642" s="41"/>
      <c r="L642" s="41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1"/>
      <c r="K643" s="41"/>
      <c r="L643" s="41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1"/>
      <c r="K644" s="41"/>
      <c r="L644" s="41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1"/>
      <c r="K645" s="41"/>
      <c r="L645" s="41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1"/>
      <c r="K646" s="41"/>
      <c r="L646" s="41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1"/>
      <c r="K647" s="41"/>
      <c r="L647" s="41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1"/>
      <c r="K648" s="41"/>
      <c r="L648" s="41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1"/>
      <c r="K649" s="41"/>
      <c r="L649" s="41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1"/>
      <c r="K650" s="41"/>
      <c r="L650" s="41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1"/>
      <c r="K651" s="41"/>
      <c r="L651" s="41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1"/>
      <c r="K652" s="41"/>
      <c r="L652" s="41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1"/>
      <c r="K653" s="41"/>
      <c r="L653" s="41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1"/>
      <c r="K654" s="41"/>
      <c r="L654" s="41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1"/>
      <c r="K655" s="41"/>
      <c r="L655" s="41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1"/>
      <c r="K656" s="41"/>
      <c r="L656" s="41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1"/>
      <c r="K657" s="41"/>
      <c r="L657" s="41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1"/>
      <c r="K658" s="41"/>
      <c r="L658" s="41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1"/>
      <c r="K659" s="41"/>
      <c r="L659" s="41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1"/>
      <c r="K660" s="41"/>
      <c r="L660" s="41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1"/>
      <c r="K661" s="41"/>
      <c r="L661" s="41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1"/>
      <c r="K662" s="41"/>
      <c r="L662" s="41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1"/>
      <c r="K663" s="41"/>
      <c r="L663" s="41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1"/>
      <c r="K664" s="41"/>
      <c r="L664" s="41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1"/>
      <c r="K665" s="41"/>
      <c r="L665" s="41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1"/>
      <c r="K666" s="41"/>
      <c r="L666" s="41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1"/>
      <c r="K667" s="41"/>
      <c r="L667" s="41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1"/>
      <c r="K668" s="41"/>
      <c r="L668" s="41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1"/>
      <c r="K669" s="41"/>
      <c r="L669" s="41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1"/>
      <c r="K670" s="41"/>
      <c r="L670" s="41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1"/>
      <c r="K671" s="41"/>
      <c r="L671" s="41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1"/>
      <c r="K672" s="41"/>
      <c r="L672" s="41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1"/>
      <c r="K673" s="41"/>
      <c r="L673" s="41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1"/>
      <c r="K674" s="41"/>
      <c r="L674" s="41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1"/>
      <c r="K675" s="41"/>
      <c r="L675" s="41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1"/>
      <c r="K676" s="41"/>
      <c r="L676" s="41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1"/>
      <c r="K677" s="41"/>
      <c r="L677" s="41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1"/>
      <c r="K678" s="41"/>
      <c r="L678" s="41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1"/>
      <c r="K679" s="41"/>
      <c r="L679" s="41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1"/>
      <c r="K680" s="41"/>
      <c r="L680" s="41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1"/>
      <c r="K681" s="41"/>
      <c r="L681" s="41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1"/>
      <c r="K682" s="41"/>
      <c r="L682" s="41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1"/>
      <c r="K683" s="41"/>
      <c r="L683" s="41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1"/>
      <c r="K684" s="41"/>
      <c r="L684" s="41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1"/>
      <c r="K685" s="41"/>
      <c r="L685" s="41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1"/>
      <c r="K686" s="41"/>
      <c r="L686" s="41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1"/>
      <c r="K687" s="41"/>
      <c r="L687" s="41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1"/>
      <c r="K688" s="41"/>
      <c r="L688" s="41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1"/>
      <c r="K689" s="41"/>
      <c r="L689" s="41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1"/>
      <c r="K690" s="41"/>
      <c r="L690" s="41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1"/>
      <c r="K691" s="41"/>
      <c r="L691" s="41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1"/>
      <c r="K692" s="41"/>
      <c r="L692" s="41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1"/>
      <c r="K693" s="41"/>
      <c r="L693" s="41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1"/>
      <c r="K694" s="41"/>
      <c r="L694" s="41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1"/>
      <c r="K695" s="41"/>
      <c r="L695" s="41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1"/>
      <c r="K696" s="41"/>
      <c r="L696" s="41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1"/>
      <c r="K697" s="41"/>
      <c r="L697" s="41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1"/>
      <c r="K698" s="41"/>
      <c r="L698" s="41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1"/>
      <c r="K699" s="41"/>
      <c r="L699" s="41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1"/>
      <c r="K700" s="41"/>
      <c r="L700" s="41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1"/>
      <c r="K701" s="41"/>
      <c r="L701" s="41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1"/>
      <c r="K702" s="41"/>
      <c r="L702" s="41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1"/>
      <c r="K703" s="41"/>
      <c r="L703" s="41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1"/>
      <c r="K704" s="41"/>
      <c r="L704" s="41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1"/>
      <c r="K705" s="41"/>
      <c r="L705" s="41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1"/>
      <c r="K706" s="41"/>
      <c r="L706" s="41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1"/>
      <c r="K707" s="41"/>
      <c r="L707" s="41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1"/>
      <c r="K708" s="41"/>
      <c r="L708" s="41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1"/>
      <c r="K709" s="41"/>
      <c r="L709" s="41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1"/>
      <c r="K710" s="41"/>
      <c r="L710" s="41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1"/>
      <c r="K711" s="41"/>
      <c r="L711" s="41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1"/>
      <c r="K712" s="41"/>
      <c r="L712" s="41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1"/>
      <c r="K713" s="41"/>
      <c r="L713" s="41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1"/>
      <c r="K714" s="41"/>
      <c r="L714" s="41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1"/>
      <c r="K715" s="41"/>
      <c r="L715" s="41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1"/>
      <c r="K716" s="41"/>
      <c r="L716" s="41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1"/>
      <c r="K717" s="41"/>
      <c r="L717" s="41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1"/>
      <c r="K718" s="41"/>
      <c r="L718" s="41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1"/>
      <c r="K719" s="41"/>
      <c r="L719" s="41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1"/>
      <c r="K720" s="41"/>
      <c r="L720" s="41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1"/>
      <c r="K721" s="41"/>
      <c r="L721" s="41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1"/>
      <c r="K722" s="41"/>
      <c r="L722" s="41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1"/>
      <c r="K723" s="41"/>
      <c r="L723" s="41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1"/>
      <c r="K724" s="41"/>
      <c r="L724" s="41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1"/>
      <c r="K725" s="41"/>
      <c r="L725" s="41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1"/>
      <c r="K726" s="41"/>
      <c r="L726" s="41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1"/>
      <c r="K727" s="41"/>
      <c r="L727" s="41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1"/>
      <c r="K728" s="41"/>
      <c r="L728" s="41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1"/>
      <c r="K729" s="41"/>
      <c r="L729" s="41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1"/>
      <c r="K730" s="41"/>
      <c r="L730" s="41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1"/>
      <c r="K731" s="41"/>
      <c r="L731" s="41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1"/>
      <c r="K732" s="41"/>
      <c r="L732" s="41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1"/>
      <c r="K733" s="41"/>
      <c r="L733" s="41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1"/>
      <c r="K734" s="41"/>
      <c r="L734" s="41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1"/>
      <c r="K735" s="41"/>
      <c r="L735" s="41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1"/>
      <c r="K736" s="41"/>
      <c r="L736" s="41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1"/>
      <c r="K737" s="41"/>
      <c r="L737" s="41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1"/>
      <c r="K738" s="41"/>
      <c r="L738" s="41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1"/>
      <c r="K739" s="41"/>
      <c r="L739" s="41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1"/>
      <c r="K740" s="41"/>
      <c r="L740" s="41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1"/>
      <c r="K741" s="41"/>
      <c r="L741" s="41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1"/>
      <c r="K742" s="41"/>
      <c r="L742" s="41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1"/>
      <c r="K743" s="41"/>
      <c r="L743" s="41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1"/>
      <c r="K744" s="41"/>
      <c r="L744" s="41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1"/>
      <c r="K745" s="41"/>
      <c r="L745" s="41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1"/>
      <c r="K746" s="41"/>
      <c r="L746" s="41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1"/>
      <c r="K747" s="41"/>
      <c r="L747" s="41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1"/>
      <c r="K748" s="41"/>
      <c r="L748" s="41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1"/>
      <c r="K749" s="41"/>
      <c r="L749" s="41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1"/>
      <c r="K750" s="41"/>
      <c r="L750" s="41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1"/>
      <c r="K751" s="41"/>
      <c r="L751" s="41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1"/>
      <c r="K752" s="41"/>
      <c r="L752" s="41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1"/>
      <c r="K753" s="41"/>
      <c r="L753" s="41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1"/>
      <c r="K754" s="41"/>
      <c r="L754" s="41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1"/>
      <c r="K755" s="41"/>
      <c r="L755" s="41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1"/>
      <c r="K756" s="41"/>
      <c r="L756" s="41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1"/>
      <c r="K757" s="41"/>
      <c r="L757" s="41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1"/>
      <c r="K758" s="41"/>
      <c r="L758" s="41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1"/>
      <c r="K759" s="41"/>
      <c r="L759" s="41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1"/>
      <c r="K760" s="41"/>
      <c r="L760" s="41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1"/>
      <c r="K761" s="41"/>
      <c r="L761" s="41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1"/>
      <c r="K762" s="41"/>
      <c r="L762" s="41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1"/>
      <c r="K763" s="41"/>
      <c r="L763" s="41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1"/>
      <c r="K764" s="41"/>
      <c r="L764" s="41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1"/>
      <c r="K765" s="41"/>
      <c r="L765" s="41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1"/>
      <c r="K766" s="41"/>
      <c r="L766" s="41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1"/>
      <c r="K767" s="41"/>
      <c r="L767" s="41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1"/>
      <c r="K768" s="41"/>
      <c r="L768" s="41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1"/>
      <c r="K769" s="41"/>
      <c r="L769" s="41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1"/>
      <c r="K770" s="41"/>
      <c r="L770" s="41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1"/>
      <c r="K771" s="41"/>
      <c r="L771" s="41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1"/>
      <c r="K772" s="41"/>
      <c r="L772" s="41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1"/>
      <c r="K773" s="41"/>
      <c r="L773" s="41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1"/>
      <c r="K774" s="41"/>
      <c r="L774" s="41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1"/>
      <c r="K775" s="41"/>
      <c r="L775" s="41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1"/>
      <c r="K776" s="41"/>
      <c r="L776" s="41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1"/>
      <c r="K777" s="41"/>
      <c r="L777" s="41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1"/>
      <c r="K778" s="41"/>
      <c r="L778" s="41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1"/>
      <c r="K779" s="41"/>
      <c r="L779" s="41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1"/>
      <c r="K780" s="41"/>
      <c r="L780" s="41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1"/>
      <c r="K781" s="41"/>
      <c r="L781" s="41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1"/>
      <c r="K782" s="41"/>
      <c r="L782" s="41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1"/>
      <c r="K783" s="41"/>
      <c r="L783" s="41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1"/>
      <c r="K784" s="41"/>
      <c r="L784" s="41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1"/>
      <c r="K785" s="41"/>
      <c r="L785" s="41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1"/>
      <c r="K786" s="41"/>
      <c r="L786" s="41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1"/>
      <c r="K787" s="41"/>
      <c r="L787" s="41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1"/>
      <c r="K788" s="41"/>
      <c r="L788" s="41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1"/>
      <c r="K789" s="41"/>
      <c r="L789" s="41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1"/>
      <c r="K790" s="41"/>
      <c r="L790" s="41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1"/>
      <c r="K791" s="41"/>
      <c r="L791" s="41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1"/>
      <c r="K792" s="41"/>
      <c r="L792" s="41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1"/>
      <c r="K793" s="41"/>
      <c r="L793" s="41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1"/>
      <c r="K794" s="41"/>
      <c r="L794" s="41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1"/>
      <c r="K795" s="41"/>
      <c r="L795" s="41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1"/>
      <c r="K796" s="41"/>
      <c r="L796" s="41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1"/>
      <c r="K797" s="41"/>
      <c r="L797" s="41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1"/>
      <c r="K798" s="41"/>
      <c r="L798" s="41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1"/>
      <c r="K799" s="41"/>
      <c r="L799" s="41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1"/>
      <c r="K800" s="41"/>
      <c r="L800" s="41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1"/>
      <c r="K801" s="41"/>
      <c r="L801" s="41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1"/>
      <c r="K802" s="41"/>
      <c r="L802" s="41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1"/>
      <c r="K803" s="41"/>
      <c r="L803" s="41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1"/>
      <c r="K804" s="41"/>
      <c r="L804" s="41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1"/>
      <c r="K805" s="41"/>
      <c r="L805" s="41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1"/>
      <c r="K806" s="41"/>
      <c r="L806" s="41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1"/>
      <c r="K807" s="41"/>
      <c r="L807" s="41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1"/>
      <c r="K808" s="41"/>
      <c r="L808" s="41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1"/>
      <c r="K809" s="41"/>
      <c r="L809" s="41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1"/>
      <c r="K810" s="41"/>
      <c r="L810" s="41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1"/>
      <c r="K811" s="41"/>
      <c r="L811" s="41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1"/>
      <c r="K812" s="41"/>
      <c r="L812" s="41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1"/>
      <c r="K813" s="41"/>
      <c r="L813" s="41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1"/>
      <c r="K814" s="41"/>
      <c r="L814" s="41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1"/>
      <c r="K815" s="41"/>
      <c r="L815" s="41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1"/>
      <c r="K816" s="41"/>
      <c r="L816" s="41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1"/>
      <c r="K817" s="41"/>
      <c r="L817" s="41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1"/>
      <c r="K818" s="41"/>
      <c r="L818" s="41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1"/>
      <c r="K819" s="41"/>
      <c r="L819" s="41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1"/>
      <c r="K820" s="41"/>
      <c r="L820" s="41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1"/>
      <c r="K821" s="41"/>
      <c r="L821" s="41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1"/>
      <c r="K822" s="41"/>
      <c r="L822" s="41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1"/>
      <c r="K823" s="41"/>
      <c r="L823" s="41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1"/>
      <c r="K824" s="41"/>
      <c r="L824" s="41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1"/>
      <c r="K825" s="41"/>
      <c r="L825" s="41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1"/>
      <c r="K826" s="41"/>
      <c r="L826" s="41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1"/>
      <c r="K827" s="41"/>
      <c r="L827" s="41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1"/>
      <c r="K828" s="41"/>
      <c r="L828" s="41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1"/>
      <c r="K829" s="41"/>
      <c r="L829" s="41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1"/>
      <c r="K830" s="41"/>
      <c r="L830" s="41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1"/>
      <c r="K831" s="41"/>
      <c r="L831" s="41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1"/>
      <c r="K832" s="41"/>
      <c r="L832" s="41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1"/>
      <c r="K833" s="41"/>
      <c r="L833" s="41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1"/>
      <c r="K834" s="41"/>
      <c r="L834" s="41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1"/>
      <c r="K835" s="41"/>
      <c r="L835" s="41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1"/>
      <c r="K836" s="41"/>
      <c r="L836" s="41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1"/>
      <c r="K837" s="41"/>
      <c r="L837" s="41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1"/>
      <c r="K838" s="41"/>
      <c r="L838" s="41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1"/>
      <c r="K839" s="41"/>
      <c r="L839" s="41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1"/>
      <c r="K840" s="41"/>
      <c r="L840" s="41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1"/>
      <c r="K841" s="41"/>
      <c r="L841" s="41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1"/>
      <c r="K842" s="41"/>
      <c r="L842" s="41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1"/>
      <c r="K843" s="41"/>
      <c r="L843" s="41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1"/>
      <c r="K844" s="41"/>
      <c r="L844" s="41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1"/>
      <c r="K845" s="41"/>
      <c r="L845" s="41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1"/>
      <c r="K846" s="41"/>
      <c r="L846" s="41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1"/>
      <c r="K847" s="41"/>
      <c r="L847" s="41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1"/>
      <c r="K848" s="41"/>
      <c r="L848" s="41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1"/>
      <c r="K849" s="41"/>
      <c r="L849" s="41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1"/>
      <c r="K850" s="41"/>
      <c r="L850" s="41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1"/>
      <c r="K851" s="41"/>
      <c r="L851" s="41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1"/>
      <c r="K852" s="41"/>
      <c r="L852" s="41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1"/>
      <c r="K853" s="41"/>
      <c r="L853" s="41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1"/>
      <c r="K854" s="41"/>
      <c r="L854" s="41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1"/>
      <c r="K855" s="41"/>
      <c r="L855" s="41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1"/>
      <c r="K856" s="41"/>
      <c r="L856" s="41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1"/>
      <c r="K857" s="41"/>
      <c r="L857" s="41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1"/>
      <c r="K858" s="41"/>
      <c r="L858" s="41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1"/>
      <c r="K859" s="41"/>
      <c r="L859" s="41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1"/>
      <c r="K860" s="41"/>
      <c r="L860" s="41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1"/>
      <c r="K861" s="41"/>
      <c r="L861" s="41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1"/>
      <c r="K862" s="41"/>
      <c r="L862" s="41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1"/>
      <c r="K863" s="41"/>
      <c r="L863" s="41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1"/>
      <c r="K864" s="41"/>
      <c r="L864" s="41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1"/>
      <c r="K865" s="41"/>
      <c r="L865" s="41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1"/>
      <c r="K866" s="41"/>
      <c r="L866" s="41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1"/>
      <c r="K867" s="41"/>
      <c r="L867" s="41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1"/>
      <c r="K868" s="41"/>
      <c r="L868" s="41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1"/>
      <c r="K869" s="41"/>
      <c r="L869" s="41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1"/>
      <c r="K870" s="41"/>
      <c r="L870" s="41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1"/>
      <c r="K871" s="41"/>
      <c r="L871" s="41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1"/>
      <c r="K872" s="41"/>
      <c r="L872" s="41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1"/>
      <c r="K873" s="41"/>
      <c r="L873" s="41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1"/>
      <c r="K874" s="41"/>
      <c r="L874" s="41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1"/>
      <c r="K875" s="41"/>
      <c r="L875" s="41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1"/>
      <c r="K876" s="41"/>
      <c r="L876" s="41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1"/>
      <c r="K877" s="41"/>
      <c r="L877" s="41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1"/>
      <c r="K878" s="41"/>
      <c r="L878" s="41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1"/>
      <c r="K879" s="41"/>
      <c r="L879" s="41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1"/>
      <c r="K880" s="41"/>
      <c r="L880" s="41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1"/>
      <c r="K881" s="41"/>
      <c r="L881" s="41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1"/>
      <c r="K882" s="41"/>
      <c r="L882" s="41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1"/>
      <c r="K883" s="41"/>
      <c r="L883" s="41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1"/>
      <c r="K884" s="41"/>
      <c r="L884" s="41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1"/>
      <c r="K885" s="41"/>
      <c r="L885" s="41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1"/>
      <c r="K886" s="41"/>
      <c r="L886" s="41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1"/>
      <c r="K887" s="41"/>
      <c r="L887" s="41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1"/>
      <c r="K888" s="41"/>
      <c r="L888" s="41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1"/>
      <c r="K889" s="41"/>
      <c r="L889" s="41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1"/>
      <c r="K890" s="41"/>
      <c r="L890" s="41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1"/>
      <c r="K891" s="41"/>
      <c r="L891" s="41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1"/>
      <c r="K892" s="41"/>
      <c r="L892" s="41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1"/>
      <c r="K893" s="41"/>
      <c r="L893" s="41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1"/>
      <c r="K894" s="41"/>
      <c r="L894" s="41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1"/>
      <c r="K895" s="41"/>
      <c r="L895" s="41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1"/>
      <c r="K896" s="41"/>
      <c r="L896" s="41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1"/>
      <c r="K897" s="41"/>
      <c r="L897" s="41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1"/>
      <c r="K898" s="41"/>
      <c r="L898" s="41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1"/>
      <c r="K899" s="41"/>
      <c r="L899" s="41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1"/>
      <c r="K900" s="41"/>
      <c r="L900" s="41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1"/>
      <c r="K901" s="41"/>
      <c r="L901" s="41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1"/>
      <c r="K902" s="41"/>
      <c r="L902" s="41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1"/>
      <c r="K903" s="41"/>
      <c r="L903" s="41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1"/>
      <c r="K904" s="41"/>
      <c r="L904" s="41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1"/>
      <c r="K905" s="41"/>
      <c r="L905" s="41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1"/>
      <c r="K906" s="41"/>
      <c r="L906" s="41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1"/>
      <c r="K907" s="41"/>
      <c r="L907" s="41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1"/>
      <c r="K908" s="41"/>
      <c r="L908" s="41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1"/>
      <c r="K909" s="41"/>
      <c r="L909" s="41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1"/>
      <c r="K910" s="41"/>
      <c r="L910" s="41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1"/>
      <c r="K911" s="41"/>
      <c r="L911" s="41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1"/>
      <c r="K912" s="41"/>
      <c r="L912" s="41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1"/>
      <c r="K913" s="41"/>
      <c r="L913" s="41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1"/>
      <c r="K914" s="41"/>
      <c r="L914" s="41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1"/>
      <c r="K915" s="41"/>
      <c r="L915" s="41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1"/>
      <c r="K916" s="41"/>
      <c r="L916" s="41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1"/>
      <c r="K917" s="41"/>
      <c r="L917" s="41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1"/>
      <c r="K918" s="41"/>
      <c r="L918" s="41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1"/>
      <c r="K919" s="41"/>
      <c r="L919" s="41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1"/>
      <c r="K920" s="41"/>
      <c r="L920" s="41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1"/>
      <c r="K921" s="41"/>
      <c r="L921" s="41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1"/>
      <c r="K922" s="41"/>
      <c r="L922" s="41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1"/>
      <c r="K923" s="41"/>
      <c r="L923" s="41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1"/>
      <c r="K924" s="41"/>
      <c r="L924" s="41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1"/>
      <c r="K925" s="41"/>
      <c r="L925" s="41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1"/>
      <c r="K926" s="41"/>
      <c r="L926" s="41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1"/>
      <c r="K927" s="41"/>
      <c r="L927" s="41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1"/>
      <c r="K928" s="41"/>
      <c r="L928" s="41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1"/>
      <c r="K929" s="41"/>
      <c r="L929" s="41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1"/>
      <c r="K930" s="41"/>
      <c r="L930" s="41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1"/>
      <c r="K931" s="41"/>
      <c r="L931" s="41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1"/>
      <c r="K932" s="41"/>
      <c r="L932" s="41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1"/>
      <c r="K933" s="41"/>
      <c r="L933" s="41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1"/>
      <c r="K934" s="41"/>
      <c r="L934" s="41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1"/>
      <c r="K935" s="41"/>
      <c r="L935" s="41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1"/>
      <c r="K936" s="41"/>
      <c r="L936" s="41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1"/>
      <c r="K937" s="41"/>
      <c r="L937" s="41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1"/>
      <c r="K938" s="41"/>
      <c r="L938" s="41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1"/>
      <c r="K939" s="41"/>
      <c r="L939" s="41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1"/>
      <c r="K940" s="41"/>
      <c r="L940" s="41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1"/>
      <c r="K941" s="41"/>
      <c r="L941" s="41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1"/>
      <c r="K942" s="41"/>
      <c r="L942" s="41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1"/>
      <c r="K943" s="41"/>
      <c r="L943" s="41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1"/>
      <c r="K944" s="41"/>
      <c r="L944" s="41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1"/>
      <c r="K945" s="41"/>
      <c r="L945" s="41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1"/>
      <c r="K946" s="41"/>
      <c r="L946" s="41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1"/>
      <c r="K947" s="41"/>
      <c r="L947" s="41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1"/>
      <c r="K948" s="41"/>
      <c r="L948" s="41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1"/>
      <c r="K949" s="41"/>
      <c r="L949" s="41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1"/>
      <c r="K950" s="41"/>
      <c r="L950" s="41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1"/>
      <c r="K951" s="41"/>
      <c r="L951" s="41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1"/>
      <c r="K952" s="41"/>
      <c r="L952" s="41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1"/>
      <c r="K953" s="41"/>
      <c r="L953" s="41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1"/>
      <c r="K954" s="41"/>
      <c r="L954" s="41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1"/>
      <c r="K955" s="41"/>
      <c r="L955" s="41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1"/>
      <c r="K956" s="41"/>
      <c r="L956" s="41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1"/>
      <c r="K957" s="41"/>
      <c r="L957" s="41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1"/>
      <c r="K958" s="41"/>
      <c r="L958" s="41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1"/>
      <c r="K959" s="41"/>
      <c r="L959" s="41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1"/>
      <c r="K960" s="41"/>
      <c r="L960" s="41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1"/>
      <c r="K961" s="41"/>
      <c r="L961" s="41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1"/>
      <c r="K962" s="41"/>
      <c r="L962" s="41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1"/>
      <c r="K963" s="41"/>
      <c r="L963" s="41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1"/>
      <c r="K964" s="41"/>
      <c r="L964" s="41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1"/>
      <c r="K965" s="41"/>
      <c r="L965" s="41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1"/>
      <c r="K966" s="41"/>
      <c r="L966" s="41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1"/>
      <c r="K967" s="41"/>
      <c r="L967" s="41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1"/>
      <c r="K968" s="41"/>
      <c r="L968" s="41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1"/>
      <c r="K969" s="41"/>
      <c r="L969" s="41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1"/>
      <c r="K970" s="41"/>
      <c r="L970" s="41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1"/>
      <c r="K971" s="41"/>
      <c r="L971" s="41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1"/>
      <c r="K972" s="41"/>
      <c r="L972" s="41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1"/>
      <c r="K973" s="41"/>
      <c r="L973" s="41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1"/>
      <c r="K974" s="41"/>
      <c r="L974" s="41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1"/>
      <c r="K975" s="41"/>
      <c r="L975" s="41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1"/>
      <c r="K976" s="41"/>
      <c r="L976" s="41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1"/>
      <c r="K977" s="41"/>
      <c r="L977" s="41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1"/>
      <c r="K978" s="41"/>
      <c r="L978" s="41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1"/>
      <c r="K979" s="41"/>
      <c r="L979" s="41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1"/>
      <c r="K980" s="41"/>
      <c r="L980" s="41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1"/>
      <c r="K981" s="41"/>
      <c r="L981" s="41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1"/>
      <c r="K982" s="41"/>
      <c r="L982" s="41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1"/>
      <c r="K983" s="41"/>
      <c r="L983" s="41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1"/>
      <c r="K984" s="41"/>
      <c r="L984" s="41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1"/>
      <c r="K985" s="41"/>
      <c r="L985" s="41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1"/>
      <c r="K986" s="41"/>
      <c r="L986" s="41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1"/>
      <c r="K987" s="41"/>
      <c r="L987" s="41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1"/>
      <c r="K988" s="41"/>
      <c r="L988" s="41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1"/>
      <c r="K989" s="41"/>
      <c r="L989" s="41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1"/>
      <c r="K990" s="41"/>
      <c r="L990" s="41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1"/>
      <c r="K991" s="41"/>
      <c r="L991" s="41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1"/>
      <c r="K992" s="41"/>
      <c r="L992" s="41"/>
      <c r="M992" s="3"/>
      <c r="N992" s="3"/>
      <c r="O992" s="3"/>
      <c r="Q992" s="4"/>
      <c r="R992" s="5"/>
      <c r="S992" s="5"/>
    </row>
  </sheetData>
  <sheetProtection password="CC27" sheet="1" objects="1" scenarios="1"/>
  <mergeCells count="6">
    <mergeCell ref="D19:K19"/>
    <mergeCell ref="B2:S2"/>
    <mergeCell ref="M3:O3"/>
    <mergeCell ref="Q3:S3"/>
    <mergeCell ref="J4:L4"/>
    <mergeCell ref="D17:K17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JAN-21</vt:lpstr>
      <vt:lpstr>FEV-21</vt:lpstr>
      <vt:lpstr>MAR-21</vt:lpstr>
      <vt:lpstr>ABR-21</vt:lpstr>
      <vt:lpstr>MAI-21</vt:lpstr>
      <vt:lpstr>JUN-21</vt:lpstr>
      <vt:lpstr>JUL-21</vt:lpstr>
      <vt:lpstr>AGO-21</vt:lpstr>
      <vt:lpstr>SET-21</vt:lpstr>
      <vt:lpstr>OUT-21</vt:lpstr>
      <vt:lpstr>NOV-21</vt:lpstr>
      <vt:lpstr>DEZ-21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Valmir Zarpelon</cp:lastModifiedBy>
  <dcterms:created xsi:type="dcterms:W3CDTF">2006-09-16T00:00:00Z</dcterms:created>
  <dcterms:modified xsi:type="dcterms:W3CDTF">2023-09-14T21:55:15Z</dcterms:modified>
</cp:coreProperties>
</file>